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onddata\Fond\Отдел реализации программ\РАБОТА ОТДЕЛА РЕАЛИЗАЦИИ\2026-2028\КП 2026-2028\new3\"/>
    </mc:Choice>
  </mc:AlternateContent>
  <xr:revisionPtr revIDLastSave="0" documentId="13_ncr:1_{EC8AE20B-76EE-438C-92C8-EE4367C05EEF}" xr6:coauthVersionLast="47" xr6:coauthVersionMax="47" xr10:uidLastSave="{00000000-0000-0000-0000-000000000000}"/>
  <bookViews>
    <workbookView xWindow="-120" yWindow="-120" windowWidth="29040" windowHeight="15840" activeTab="1" xr2:uid="{69130982-2366-42B3-A13C-86629450594C}"/>
  </bookViews>
  <sheets>
    <sheet name="Реестр" sheetId="1" r:id="rId1"/>
    <sheet name="Перечень" sheetId="3" r:id="rId2"/>
    <sheet name="РО" sheetId="5" r:id="rId3"/>
    <sheet name="Плановое обеспечение" sheetId="6" r:id="rId4"/>
    <sheet name="Спецсчета" sheetId="7" r:id="rId5"/>
  </sheets>
  <definedNames>
    <definedName name="_xlnm._FilterDatabase" localSheetId="1" hidden="1">Перечень!$A$14:$CR$548</definedName>
    <definedName name="_xlnm._FilterDatabase" localSheetId="3" hidden="1">'Плановое обеспечение'!$A$11:$J$100</definedName>
    <definedName name="_xlnm._FilterDatabase" localSheetId="0" hidden="1">Реестр!$A$18:$AE$551</definedName>
    <definedName name="_xlnm._FilterDatabase" localSheetId="4" hidden="1">Спецсчета!$A$13:$V$13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5" i="6" l="1"/>
  <c r="E95" i="6"/>
  <c r="F95" i="6"/>
  <c r="C95" i="6"/>
  <c r="C65" i="6"/>
  <c r="D65" i="6"/>
  <c r="V512" i="3" l="1"/>
  <c r="V516" i="3"/>
  <c r="S265" i="3"/>
  <c r="V265" i="3" s="1"/>
  <c r="S266" i="3"/>
  <c r="V266" i="3" s="1"/>
  <c r="S267" i="3"/>
  <c r="V267" i="3" s="1"/>
  <c r="S268" i="3"/>
  <c r="V268" i="3" s="1"/>
  <c r="S269" i="3"/>
  <c r="V269" i="3" s="1"/>
  <c r="S270" i="3"/>
  <c r="V270" i="3" s="1"/>
  <c r="S271" i="3"/>
  <c r="V271" i="3" s="1"/>
  <c r="S272" i="3"/>
  <c r="V272" i="3" s="1"/>
  <c r="S273" i="3"/>
  <c r="V273" i="3" s="1"/>
  <c r="S274" i="3"/>
  <c r="V274" i="3" s="1"/>
  <c r="S275" i="3"/>
  <c r="V275" i="3" s="1"/>
  <c r="S276" i="3"/>
  <c r="V276" i="3" s="1"/>
  <c r="P439" i="3"/>
  <c r="Q439" i="3"/>
  <c r="R439" i="3"/>
  <c r="O439" i="3"/>
  <c r="J439" i="3"/>
  <c r="K439" i="3"/>
  <c r="I439" i="3"/>
  <c r="S548" i="3"/>
  <c r="S547" i="3" s="1"/>
  <c r="Q547" i="3"/>
  <c r="U547" i="3"/>
  <c r="T548" i="3"/>
  <c r="R547" i="3"/>
  <c r="P547" i="3"/>
  <c r="J547" i="3"/>
  <c r="K547" i="3"/>
  <c r="I547" i="3"/>
  <c r="T547" i="3" s="1"/>
  <c r="V547" i="3" l="1"/>
  <c r="V548" i="3"/>
  <c r="Z551" i="1" l="1"/>
  <c r="Z550" i="1" s="1"/>
  <c r="F550" i="1"/>
  <c r="G550" i="1"/>
  <c r="H550" i="1"/>
  <c r="I550" i="1"/>
  <c r="J550" i="1"/>
  <c r="K550" i="1"/>
  <c r="L550" i="1"/>
  <c r="M550" i="1"/>
  <c r="N550" i="1"/>
  <c r="O550" i="1"/>
  <c r="P550" i="1"/>
  <c r="Q550" i="1"/>
  <c r="R550" i="1"/>
  <c r="S550" i="1"/>
  <c r="T550" i="1"/>
  <c r="U550" i="1"/>
  <c r="V550" i="1"/>
  <c r="W550" i="1"/>
  <c r="X550" i="1"/>
  <c r="Y550" i="1"/>
  <c r="AA550" i="1"/>
  <c r="O108" i="3"/>
  <c r="S107" i="3"/>
  <c r="V107" i="3" s="1"/>
  <c r="T107" i="3"/>
  <c r="U107" i="3" s="1"/>
  <c r="U103" i="3" s="1"/>
  <c r="P103" i="3"/>
  <c r="Q103" i="3"/>
  <c r="R103" i="3"/>
  <c r="O103" i="3"/>
  <c r="J103" i="3"/>
  <c r="K103" i="3"/>
  <c r="I103" i="3"/>
  <c r="B106" i="3"/>
  <c r="B107" i="3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AA106" i="1"/>
  <c r="E110" i="1"/>
  <c r="O112" i="1"/>
  <c r="B110" i="1"/>
  <c r="E551" i="1" l="1"/>
  <c r="E550" i="1" s="1"/>
  <c r="S361" i="3"/>
  <c r="V361" i="3" s="1"/>
  <c r="U360" i="3"/>
  <c r="T361" i="3"/>
  <c r="P360" i="3"/>
  <c r="Q360" i="3"/>
  <c r="R360" i="3"/>
  <c r="O360" i="3"/>
  <c r="J360" i="3"/>
  <c r="K360" i="3"/>
  <c r="I360" i="3"/>
  <c r="B361" i="3"/>
  <c r="F363" i="1"/>
  <c r="G363" i="1"/>
  <c r="H363" i="1"/>
  <c r="I363" i="1"/>
  <c r="J363" i="1"/>
  <c r="K363" i="1"/>
  <c r="L363" i="1"/>
  <c r="M363" i="1"/>
  <c r="N363" i="1"/>
  <c r="O363" i="1"/>
  <c r="P363" i="1"/>
  <c r="Q363" i="1"/>
  <c r="R363" i="1"/>
  <c r="S363" i="1"/>
  <c r="T363" i="1"/>
  <c r="U363" i="1"/>
  <c r="V363" i="1"/>
  <c r="W363" i="1"/>
  <c r="X363" i="1"/>
  <c r="Y363" i="1"/>
  <c r="AA363" i="1"/>
  <c r="Z364" i="1"/>
  <c r="E364" i="1" s="1"/>
  <c r="E363" i="1" s="1"/>
  <c r="B364" i="1"/>
  <c r="S360" i="3" l="1"/>
  <c r="V360" i="3" s="1"/>
  <c r="Z363" i="1"/>
  <c r="T360" i="3"/>
  <c r="B326" i="3"/>
  <c r="P76" i="3" l="1"/>
  <c r="Q76" i="3"/>
  <c r="R76" i="3"/>
  <c r="O76" i="3"/>
  <c r="O161" i="1"/>
  <c r="O157" i="1"/>
  <c r="O159" i="1"/>
  <c r="Z202" i="1" l="1"/>
  <c r="E202" i="1" s="1"/>
  <c r="U276" i="3" l="1"/>
  <c r="U263" i="3" s="1"/>
  <c r="P263" i="3"/>
  <c r="Q263" i="3"/>
  <c r="R263" i="3"/>
  <c r="O263" i="3"/>
  <c r="J263" i="3"/>
  <c r="K263" i="3"/>
  <c r="I263" i="3"/>
  <c r="B273" i="3"/>
  <c r="B274" i="3"/>
  <c r="B275" i="3"/>
  <c r="B276" i="3"/>
  <c r="B418" i="3"/>
  <c r="B419" i="3"/>
  <c r="B420" i="3"/>
  <c r="B421" i="3"/>
  <c r="B422" i="3"/>
  <c r="B423" i="3"/>
  <c r="B424" i="3"/>
  <c r="Z279" i="1"/>
  <c r="E279" i="1" s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AA266" i="1"/>
  <c r="B279" i="1"/>
  <c r="M84" i="1" l="1"/>
  <c r="M82" i="1"/>
  <c r="P237" i="3"/>
  <c r="Q237" i="3"/>
  <c r="R237" i="3"/>
  <c r="O237" i="3"/>
  <c r="U237" i="3"/>
  <c r="T242" i="3"/>
  <c r="T243" i="3"/>
  <c r="S242" i="3"/>
  <c r="V242" i="3" s="1"/>
  <c r="S243" i="3"/>
  <c r="V243" i="3" s="1"/>
  <c r="J237" i="3"/>
  <c r="K237" i="3"/>
  <c r="I237" i="3"/>
  <c r="B242" i="3"/>
  <c r="B243" i="3"/>
  <c r="O244" i="3"/>
  <c r="O244" i="1"/>
  <c r="O240" i="1" s="1"/>
  <c r="Z246" i="1"/>
  <c r="E246" i="1" s="1"/>
  <c r="Z245" i="1"/>
  <c r="F240" i="1"/>
  <c r="G240" i="1"/>
  <c r="H240" i="1"/>
  <c r="I240" i="1"/>
  <c r="J240" i="1"/>
  <c r="K240" i="1"/>
  <c r="L240" i="1"/>
  <c r="M240" i="1"/>
  <c r="N240" i="1"/>
  <c r="P240" i="1"/>
  <c r="Q240" i="1"/>
  <c r="R240" i="1"/>
  <c r="S240" i="1"/>
  <c r="T240" i="1"/>
  <c r="U240" i="1"/>
  <c r="V240" i="1"/>
  <c r="W240" i="1"/>
  <c r="X240" i="1"/>
  <c r="Y240" i="1"/>
  <c r="AA240" i="1"/>
  <c r="B245" i="1"/>
  <c r="B246" i="1"/>
  <c r="U320" i="3"/>
  <c r="I320" i="3"/>
  <c r="O320" i="3"/>
  <c r="S326" i="3"/>
  <c r="V326" i="3" s="1"/>
  <c r="T326" i="3"/>
  <c r="P320" i="3"/>
  <c r="Q320" i="3"/>
  <c r="R320" i="3"/>
  <c r="J320" i="3"/>
  <c r="K320" i="3"/>
  <c r="O138" i="1"/>
  <c r="O140" i="1"/>
  <c r="O139" i="1"/>
  <c r="O137" i="1"/>
  <c r="E245" i="1" l="1"/>
  <c r="F323" i="1" l="1"/>
  <c r="G323" i="1"/>
  <c r="H323" i="1"/>
  <c r="I323" i="1"/>
  <c r="J323" i="1"/>
  <c r="K323" i="1"/>
  <c r="L323" i="1"/>
  <c r="M323" i="1"/>
  <c r="N323" i="1"/>
  <c r="O323" i="1"/>
  <c r="P323" i="1"/>
  <c r="Q323" i="1"/>
  <c r="R323" i="1"/>
  <c r="S323" i="1"/>
  <c r="T323" i="1"/>
  <c r="U323" i="1"/>
  <c r="V323" i="1"/>
  <c r="W323" i="1"/>
  <c r="X323" i="1"/>
  <c r="Y323" i="1"/>
  <c r="AA323" i="1"/>
  <c r="Z329" i="1"/>
  <c r="E329" i="1" s="1"/>
  <c r="B327" i="1" l="1"/>
  <c r="B328" i="1"/>
  <c r="B329" i="1"/>
  <c r="U439" i="3"/>
  <c r="K296" i="3"/>
  <c r="U296" i="3"/>
  <c r="P296" i="3"/>
  <c r="Q296" i="3"/>
  <c r="R296" i="3"/>
  <c r="O296" i="3"/>
  <c r="J296" i="3"/>
  <c r="I296" i="3"/>
  <c r="B299" i="3"/>
  <c r="B300" i="3"/>
  <c r="F442" i="1"/>
  <c r="G442" i="1"/>
  <c r="H442" i="1"/>
  <c r="I442" i="1"/>
  <c r="J442" i="1"/>
  <c r="K442" i="1"/>
  <c r="L442" i="1"/>
  <c r="M442" i="1"/>
  <c r="N442" i="1"/>
  <c r="O442" i="1"/>
  <c r="P442" i="1"/>
  <c r="Q442" i="1"/>
  <c r="R442" i="1"/>
  <c r="S442" i="1"/>
  <c r="T442" i="1"/>
  <c r="U442" i="1"/>
  <c r="V442" i="1"/>
  <c r="W442" i="1"/>
  <c r="X442" i="1"/>
  <c r="Y442" i="1"/>
  <c r="AA442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AA299" i="1"/>
  <c r="B302" i="1"/>
  <c r="B303" i="1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C29" i="7"/>
  <c r="C30" i="7"/>
  <c r="C37" i="7"/>
  <c r="C34" i="7"/>
  <c r="J75" i="1" l="1"/>
  <c r="K309" i="3" l="1"/>
  <c r="J309" i="3"/>
  <c r="I309" i="3"/>
  <c r="U309" i="3"/>
  <c r="P309" i="3"/>
  <c r="Q309" i="3"/>
  <c r="R309" i="3"/>
  <c r="O309" i="3"/>
  <c r="T312" i="3"/>
  <c r="S312" i="3"/>
  <c r="V312" i="3" s="1"/>
  <c r="B312" i="3"/>
  <c r="O314" i="1"/>
  <c r="O312" i="1" s="1"/>
  <c r="Z315" i="1"/>
  <c r="E315" i="1" s="1"/>
  <c r="F312" i="1"/>
  <c r="G312" i="1"/>
  <c r="H312" i="1"/>
  <c r="I312" i="1"/>
  <c r="J312" i="1"/>
  <c r="K312" i="1"/>
  <c r="L312" i="1"/>
  <c r="M312" i="1"/>
  <c r="N312" i="1"/>
  <c r="P312" i="1"/>
  <c r="Q312" i="1"/>
  <c r="R312" i="1"/>
  <c r="S312" i="1"/>
  <c r="T312" i="1"/>
  <c r="U312" i="1"/>
  <c r="V312" i="1"/>
  <c r="W312" i="1"/>
  <c r="X312" i="1"/>
  <c r="Y312" i="1"/>
  <c r="AA312" i="1"/>
  <c r="B315" i="1"/>
  <c r="Q518" i="3"/>
  <c r="I518" i="3"/>
  <c r="S546" i="3"/>
  <c r="V546" i="3" s="1"/>
  <c r="S545" i="3"/>
  <c r="V545" i="3" s="1"/>
  <c r="S543" i="3"/>
  <c r="V543" i="3" s="1"/>
  <c r="S542" i="3"/>
  <c r="V542" i="3" s="1"/>
  <c r="U518" i="3"/>
  <c r="U544" i="3"/>
  <c r="U541" i="3"/>
  <c r="T546" i="3"/>
  <c r="T545" i="3"/>
  <c r="T543" i="3"/>
  <c r="T542" i="3"/>
  <c r="P544" i="3"/>
  <c r="Q544" i="3"/>
  <c r="R544" i="3"/>
  <c r="P541" i="3"/>
  <c r="Q541" i="3"/>
  <c r="R541" i="3"/>
  <c r="P518" i="3"/>
  <c r="R518" i="3"/>
  <c r="J544" i="3"/>
  <c r="K544" i="3"/>
  <c r="I544" i="3"/>
  <c r="J541" i="3"/>
  <c r="K541" i="3"/>
  <c r="I541" i="3"/>
  <c r="T541" i="3" s="1"/>
  <c r="J518" i="3"/>
  <c r="K518" i="3"/>
  <c r="T524" i="3"/>
  <c r="S524" i="3"/>
  <c r="V524" i="3" s="1"/>
  <c r="Z549" i="1"/>
  <c r="E549" i="1" s="1"/>
  <c r="Z548" i="1"/>
  <c r="E548" i="1" s="1"/>
  <c r="Z546" i="1"/>
  <c r="E546" i="1" s="1"/>
  <c r="Z545" i="1"/>
  <c r="Z527" i="1"/>
  <c r="E527" i="1" s="1"/>
  <c r="F547" i="1"/>
  <c r="G547" i="1"/>
  <c r="H547" i="1"/>
  <c r="I547" i="1"/>
  <c r="J547" i="1"/>
  <c r="K547" i="1"/>
  <c r="L547" i="1"/>
  <c r="M547" i="1"/>
  <c r="N547" i="1"/>
  <c r="O547" i="1"/>
  <c r="P547" i="1"/>
  <c r="Q547" i="1"/>
  <c r="R547" i="1"/>
  <c r="S547" i="1"/>
  <c r="T547" i="1"/>
  <c r="U547" i="1"/>
  <c r="V547" i="1"/>
  <c r="W547" i="1"/>
  <c r="X547" i="1"/>
  <c r="Y547" i="1"/>
  <c r="AA547" i="1"/>
  <c r="F544" i="1"/>
  <c r="G544" i="1"/>
  <c r="H544" i="1"/>
  <c r="I544" i="1"/>
  <c r="J544" i="1"/>
  <c r="K544" i="1"/>
  <c r="L544" i="1"/>
  <c r="M544" i="1"/>
  <c r="N544" i="1"/>
  <c r="O544" i="1"/>
  <c r="P544" i="1"/>
  <c r="Q544" i="1"/>
  <c r="R544" i="1"/>
  <c r="S544" i="1"/>
  <c r="T544" i="1"/>
  <c r="U544" i="1"/>
  <c r="V544" i="1"/>
  <c r="W544" i="1"/>
  <c r="X544" i="1"/>
  <c r="Y544" i="1"/>
  <c r="AA544" i="1"/>
  <c r="F521" i="1"/>
  <c r="G521" i="1"/>
  <c r="H521" i="1"/>
  <c r="I521" i="1"/>
  <c r="J521" i="1"/>
  <c r="K521" i="1"/>
  <c r="L521" i="1"/>
  <c r="M521" i="1"/>
  <c r="N521" i="1"/>
  <c r="O521" i="1"/>
  <c r="P521" i="1"/>
  <c r="Q521" i="1"/>
  <c r="R521" i="1"/>
  <c r="S521" i="1"/>
  <c r="T521" i="1"/>
  <c r="U521" i="1"/>
  <c r="V521" i="1"/>
  <c r="W521" i="1"/>
  <c r="X521" i="1"/>
  <c r="Y521" i="1"/>
  <c r="AA521" i="1"/>
  <c r="S51" i="1"/>
  <c r="S541" i="3" l="1"/>
  <c r="V541" i="3" s="1"/>
  <c r="T544" i="3"/>
  <c r="S544" i="3"/>
  <c r="V544" i="3" s="1"/>
  <c r="Z547" i="1"/>
  <c r="Z544" i="1"/>
  <c r="E545" i="1"/>
  <c r="E544" i="1" s="1"/>
  <c r="E547" i="1"/>
  <c r="P197" i="3"/>
  <c r="Q197" i="3"/>
  <c r="R197" i="3"/>
  <c r="O197" i="3"/>
  <c r="J197" i="3"/>
  <c r="K197" i="3"/>
  <c r="I197" i="3"/>
  <c r="T236" i="3"/>
  <c r="U236" i="3" s="1"/>
  <c r="S236" i="3"/>
  <c r="V236" i="3" s="1"/>
  <c r="B236" i="3"/>
  <c r="K15" i="3"/>
  <c r="J15" i="3"/>
  <c r="I15" i="3"/>
  <c r="P15" i="3"/>
  <c r="Q15" i="3"/>
  <c r="O15" i="3"/>
  <c r="S52" i="3"/>
  <c r="V52" i="3" s="1"/>
  <c r="S51" i="3"/>
  <c r="V51" i="3" s="1"/>
  <c r="S50" i="3"/>
  <c r="V50" i="3" s="1"/>
  <c r="T47" i="3"/>
  <c r="T48" i="3"/>
  <c r="T49" i="3"/>
  <c r="T50" i="3"/>
  <c r="U50" i="3" s="1"/>
  <c r="T51" i="3"/>
  <c r="U51" i="3" s="1"/>
  <c r="T52" i="3"/>
  <c r="U52" i="3" s="1"/>
  <c r="S48" i="3"/>
  <c r="V48" i="3" s="1"/>
  <c r="S49" i="3"/>
  <c r="V49" i="3" s="1"/>
  <c r="S47" i="3"/>
  <c r="V47" i="3" s="1"/>
  <c r="B47" i="3" l="1"/>
  <c r="B48" i="3"/>
  <c r="B49" i="3"/>
  <c r="B50" i="3"/>
  <c r="B51" i="3"/>
  <c r="B52" i="3"/>
  <c r="O33" i="1"/>
  <c r="F18" i="1"/>
  <c r="G18" i="1"/>
  <c r="H18" i="1"/>
  <c r="J18" i="1"/>
  <c r="K18" i="1"/>
  <c r="L18" i="1"/>
  <c r="N18" i="1"/>
  <c r="P18" i="1"/>
  <c r="Q18" i="1"/>
  <c r="R18" i="1"/>
  <c r="S18" i="1"/>
  <c r="T18" i="1"/>
  <c r="U18" i="1"/>
  <c r="V18" i="1"/>
  <c r="W18" i="1"/>
  <c r="X18" i="1"/>
  <c r="Y18" i="1"/>
  <c r="AA18" i="1"/>
  <c r="M34" i="1"/>
  <c r="M18" i="1" s="1"/>
  <c r="O36" i="1"/>
  <c r="Z55" i="1"/>
  <c r="E55" i="1" s="1"/>
  <c r="Z54" i="1"/>
  <c r="E54" i="1" s="1"/>
  <c r="Z53" i="1"/>
  <c r="E53" i="1" s="1"/>
  <c r="B53" i="1" l="1"/>
  <c r="B54" i="1"/>
  <c r="B55" i="1"/>
  <c r="Z239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AA200" i="1"/>
  <c r="B239" i="1"/>
  <c r="Z52" i="1"/>
  <c r="E52" i="1" s="1"/>
  <c r="Z51" i="1"/>
  <c r="E51" i="1" s="1"/>
  <c r="Z50" i="1"/>
  <c r="E50" i="1" s="1"/>
  <c r="B50" i="1"/>
  <c r="B51" i="1"/>
  <c r="B52" i="1"/>
  <c r="F65" i="6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AA247" i="1"/>
  <c r="E239" i="1" l="1"/>
  <c r="S540" i="3"/>
  <c r="V540" i="3" s="1"/>
  <c r="S539" i="3"/>
  <c r="V539" i="3" s="1"/>
  <c r="S538" i="3"/>
  <c r="V538" i="3" s="1"/>
  <c r="S537" i="3"/>
  <c r="V537" i="3" s="1"/>
  <c r="S536" i="3"/>
  <c r="V536" i="3" s="1"/>
  <c r="S535" i="3"/>
  <c r="V535" i="3" s="1"/>
  <c r="J534" i="3"/>
  <c r="K534" i="3"/>
  <c r="I534" i="3"/>
  <c r="S523" i="3"/>
  <c r="V523" i="3" s="1"/>
  <c r="U534" i="3"/>
  <c r="T536" i="3"/>
  <c r="T537" i="3"/>
  <c r="T538" i="3"/>
  <c r="T539" i="3"/>
  <c r="T540" i="3"/>
  <c r="T535" i="3"/>
  <c r="P534" i="3"/>
  <c r="Q534" i="3"/>
  <c r="R534" i="3"/>
  <c r="T523" i="3"/>
  <c r="Z542" i="1"/>
  <c r="E542" i="1" s="1"/>
  <c r="Z541" i="1"/>
  <c r="E541" i="1" s="1"/>
  <c r="Z540" i="1"/>
  <c r="E540" i="1" s="1"/>
  <c r="Z539" i="1"/>
  <c r="E539" i="1" s="1"/>
  <c r="Z538" i="1"/>
  <c r="Z526" i="1"/>
  <c r="E526" i="1" s="1"/>
  <c r="Z543" i="1"/>
  <c r="E543" i="1" s="1"/>
  <c r="F537" i="1"/>
  <c r="G537" i="1"/>
  <c r="H537" i="1"/>
  <c r="I537" i="1"/>
  <c r="J537" i="1"/>
  <c r="K537" i="1"/>
  <c r="L537" i="1"/>
  <c r="M537" i="1"/>
  <c r="N537" i="1"/>
  <c r="O537" i="1"/>
  <c r="P537" i="1"/>
  <c r="Q537" i="1"/>
  <c r="R537" i="1"/>
  <c r="S537" i="1"/>
  <c r="T537" i="1"/>
  <c r="U537" i="1"/>
  <c r="V537" i="1"/>
  <c r="W537" i="1"/>
  <c r="X537" i="1"/>
  <c r="Y537" i="1"/>
  <c r="AA537" i="1"/>
  <c r="T534" i="3" l="1"/>
  <c r="S534" i="3"/>
  <c r="V534" i="3" s="1"/>
  <c r="Z537" i="1"/>
  <c r="E538" i="1"/>
  <c r="E537" i="1" s="1"/>
  <c r="T262" i="3" l="1"/>
  <c r="P244" i="3"/>
  <c r="Q244" i="3"/>
  <c r="R244" i="3"/>
  <c r="S262" i="3"/>
  <c r="V262" i="3" s="1"/>
  <c r="I244" i="3"/>
  <c r="J244" i="3"/>
  <c r="K244" i="3"/>
  <c r="B261" i="3"/>
  <c r="B262" i="3"/>
  <c r="Z265" i="1"/>
  <c r="E265" i="1" s="1"/>
  <c r="B264" i="1"/>
  <c r="B265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T235" i="3" l="1"/>
  <c r="S235" i="3"/>
  <c r="V235" i="3" s="1"/>
  <c r="B235" i="3"/>
  <c r="Z238" i="1"/>
  <c r="E238" i="1" s="1"/>
  <c r="B238" i="1" l="1"/>
  <c r="B272" i="3" l="1"/>
  <c r="B276" i="1"/>
  <c r="B277" i="1"/>
  <c r="B278" i="1"/>
  <c r="P414" i="3" l="1"/>
  <c r="Q414" i="3"/>
  <c r="R414" i="3"/>
  <c r="O414" i="3"/>
  <c r="J414" i="3"/>
  <c r="K414" i="3"/>
  <c r="I414" i="3"/>
  <c r="F417" i="1"/>
  <c r="G417" i="1"/>
  <c r="H417" i="1"/>
  <c r="I417" i="1"/>
  <c r="J417" i="1"/>
  <c r="K417" i="1"/>
  <c r="L417" i="1"/>
  <c r="M417" i="1"/>
  <c r="N417" i="1"/>
  <c r="P417" i="1"/>
  <c r="Q417" i="1"/>
  <c r="R417" i="1"/>
  <c r="S417" i="1"/>
  <c r="T417" i="1"/>
  <c r="U417" i="1"/>
  <c r="V417" i="1"/>
  <c r="W417" i="1"/>
  <c r="X417" i="1"/>
  <c r="Y417" i="1"/>
  <c r="AA417" i="1"/>
  <c r="B421" i="1"/>
  <c r="B422" i="1"/>
  <c r="B423" i="1"/>
  <c r="B424" i="1"/>
  <c r="B425" i="1"/>
  <c r="B426" i="1"/>
  <c r="B427" i="1"/>
  <c r="R40" i="3" l="1"/>
  <c r="V40" i="3" s="1"/>
  <c r="T234" i="3" l="1"/>
  <c r="S234" i="3"/>
  <c r="V234" i="3" s="1"/>
  <c r="B234" i="3"/>
  <c r="O37" i="1"/>
  <c r="Z237" i="1"/>
  <c r="E237" i="1" s="1"/>
  <c r="B237" i="1" l="1"/>
  <c r="T233" i="3" l="1"/>
  <c r="S233" i="3"/>
  <c r="V233" i="3" s="1"/>
  <c r="B233" i="3"/>
  <c r="O28" i="1"/>
  <c r="Z28" i="1" s="1"/>
  <c r="Z236" i="1"/>
  <c r="E236" i="1" s="1"/>
  <c r="B236" i="1"/>
  <c r="T40" i="3" l="1"/>
  <c r="U40" i="3" s="1"/>
  <c r="U15" i="3" s="1"/>
  <c r="T41" i="3"/>
  <c r="T42" i="3"/>
  <c r="T43" i="3"/>
  <c r="T44" i="3"/>
  <c r="T45" i="3"/>
  <c r="T46" i="3"/>
  <c r="R41" i="3"/>
  <c r="R42" i="3"/>
  <c r="R43" i="3"/>
  <c r="R44" i="3"/>
  <c r="R45" i="3"/>
  <c r="R46" i="3"/>
  <c r="B42" i="3"/>
  <c r="B43" i="3"/>
  <c r="B44" i="3"/>
  <c r="B45" i="3"/>
  <c r="B46" i="3"/>
  <c r="O43" i="1"/>
  <c r="S45" i="3" l="1"/>
  <c r="V45" i="3" s="1"/>
  <c r="S42" i="3"/>
  <c r="V42" i="3" s="1"/>
  <c r="S43" i="3"/>
  <c r="V43" i="3" s="1"/>
  <c r="S44" i="3"/>
  <c r="V44" i="3" s="1"/>
  <c r="S46" i="3"/>
  <c r="V46" i="3" s="1"/>
  <c r="S41" i="3"/>
  <c r="V41" i="3" s="1"/>
  <c r="R15" i="3"/>
  <c r="Z44" i="1"/>
  <c r="E44" i="1" s="1"/>
  <c r="Z43" i="1"/>
  <c r="E43" i="1" s="1"/>
  <c r="Z49" i="1" l="1"/>
  <c r="E49" i="1" s="1"/>
  <c r="Z48" i="1"/>
  <c r="E48" i="1" s="1"/>
  <c r="Z47" i="1"/>
  <c r="E47" i="1" s="1"/>
  <c r="Z46" i="1"/>
  <c r="E46" i="1" s="1"/>
  <c r="Z45" i="1"/>
  <c r="E45" i="1" s="1"/>
  <c r="B45" i="1"/>
  <c r="B46" i="1"/>
  <c r="B47" i="1"/>
  <c r="B48" i="1"/>
  <c r="B49" i="1"/>
  <c r="U351" i="3"/>
  <c r="T356" i="3"/>
  <c r="S356" i="3"/>
  <c r="V356" i="3" s="1"/>
  <c r="P351" i="3"/>
  <c r="Q351" i="3"/>
  <c r="R351" i="3"/>
  <c r="O351" i="3"/>
  <c r="J351" i="3"/>
  <c r="K351" i="3"/>
  <c r="I351" i="3"/>
  <c r="B356" i="3"/>
  <c r="Z359" i="1"/>
  <c r="E359" i="1" s="1"/>
  <c r="F354" i="1"/>
  <c r="G354" i="1"/>
  <c r="H354" i="1"/>
  <c r="I354" i="1"/>
  <c r="J354" i="1"/>
  <c r="K354" i="1"/>
  <c r="L354" i="1"/>
  <c r="M354" i="1"/>
  <c r="N354" i="1"/>
  <c r="O354" i="1"/>
  <c r="P354" i="1"/>
  <c r="Q354" i="1"/>
  <c r="R354" i="1"/>
  <c r="S354" i="1"/>
  <c r="T354" i="1"/>
  <c r="U354" i="1"/>
  <c r="V354" i="1"/>
  <c r="W354" i="1"/>
  <c r="X354" i="1"/>
  <c r="Y354" i="1"/>
  <c r="AA354" i="1"/>
  <c r="B359" i="1"/>
  <c r="O187" i="1"/>
  <c r="I362" i="3" l="1"/>
  <c r="J362" i="3"/>
  <c r="K362" i="3"/>
  <c r="T364" i="3"/>
  <c r="U364" i="3" s="1"/>
  <c r="U362" i="3" s="1"/>
  <c r="P362" i="3"/>
  <c r="Q362" i="3"/>
  <c r="R362" i="3"/>
  <c r="O362" i="3"/>
  <c r="S364" i="3"/>
  <c r="V364" i="3" s="1"/>
  <c r="B364" i="3"/>
  <c r="Z367" i="1"/>
  <c r="F365" i="1"/>
  <c r="G365" i="1"/>
  <c r="H365" i="1"/>
  <c r="I365" i="1"/>
  <c r="J365" i="1"/>
  <c r="K365" i="1"/>
  <c r="L365" i="1"/>
  <c r="M365" i="1"/>
  <c r="N365" i="1"/>
  <c r="O365" i="1"/>
  <c r="P365" i="1"/>
  <c r="Q365" i="1"/>
  <c r="R365" i="1"/>
  <c r="S365" i="1"/>
  <c r="T365" i="1"/>
  <c r="U365" i="1"/>
  <c r="V365" i="1"/>
  <c r="W365" i="1"/>
  <c r="X365" i="1"/>
  <c r="Y365" i="1"/>
  <c r="AA365" i="1"/>
  <c r="E367" i="1" l="1"/>
  <c r="B367" i="1" l="1"/>
  <c r="B315" i="3" l="1"/>
  <c r="B316" i="3"/>
  <c r="B317" i="3"/>
  <c r="B314" i="3"/>
  <c r="T317" i="3"/>
  <c r="S317" i="3"/>
  <c r="V317" i="3" s="1"/>
  <c r="T316" i="3"/>
  <c r="S316" i="3"/>
  <c r="V316" i="3" s="1"/>
  <c r="T315" i="3"/>
  <c r="S315" i="3"/>
  <c r="V315" i="3" s="1"/>
  <c r="T314" i="3"/>
  <c r="S314" i="3"/>
  <c r="V314" i="3" s="1"/>
  <c r="U313" i="3"/>
  <c r="R313" i="3"/>
  <c r="Q313" i="3"/>
  <c r="P313" i="3"/>
  <c r="K313" i="3"/>
  <c r="J313" i="3"/>
  <c r="I313" i="3"/>
  <c r="T313" i="3" s="1"/>
  <c r="O130" i="1"/>
  <c r="O129" i="1"/>
  <c r="Z129" i="1" s="1"/>
  <c r="E129" i="1" s="1"/>
  <c r="O128" i="1"/>
  <c r="Z128" i="1" s="1"/>
  <c r="E128" i="1" s="1"/>
  <c r="B318" i="1"/>
  <c r="B319" i="1"/>
  <c r="B320" i="1"/>
  <c r="B317" i="1"/>
  <c r="Z320" i="1"/>
  <c r="E320" i="1" s="1"/>
  <c r="Z319" i="1"/>
  <c r="Z318" i="1"/>
  <c r="E318" i="1" s="1"/>
  <c r="Z317" i="1"/>
  <c r="E317" i="1" s="1"/>
  <c r="AA316" i="1"/>
  <c r="Y316" i="1"/>
  <c r="X316" i="1"/>
  <c r="W316" i="1"/>
  <c r="V316" i="1"/>
  <c r="U316" i="1"/>
  <c r="T316" i="1"/>
  <c r="S316" i="1"/>
  <c r="R316" i="1"/>
  <c r="Q316" i="1"/>
  <c r="P316" i="1"/>
  <c r="O316" i="1"/>
  <c r="N316" i="1"/>
  <c r="M316" i="1"/>
  <c r="K316" i="1"/>
  <c r="J316" i="1"/>
  <c r="I316" i="1"/>
  <c r="H316" i="1"/>
  <c r="G316" i="1"/>
  <c r="F316" i="1"/>
  <c r="S313" i="3" l="1"/>
  <c r="V313" i="3" s="1"/>
  <c r="Z316" i="1"/>
  <c r="Z130" i="1"/>
  <c r="E130" i="1" s="1"/>
  <c r="E319" i="1"/>
  <c r="E316" i="1" s="1"/>
  <c r="S60" i="3" l="1"/>
  <c r="V60" i="3" s="1"/>
  <c r="T60" i="3"/>
  <c r="U53" i="3"/>
  <c r="P53" i="3"/>
  <c r="Q53" i="3"/>
  <c r="R53" i="3"/>
  <c r="O53" i="3"/>
  <c r="J53" i="3"/>
  <c r="K53" i="3"/>
  <c r="I53" i="3"/>
  <c r="B60" i="3"/>
  <c r="Z63" i="1"/>
  <c r="Z58" i="1"/>
  <c r="F56" i="1"/>
  <c r="G56" i="1"/>
  <c r="H56" i="1"/>
  <c r="I56" i="1"/>
  <c r="J56" i="1"/>
  <c r="K56" i="1"/>
  <c r="L56" i="1"/>
  <c r="M56" i="1"/>
  <c r="N56" i="1"/>
  <c r="P56" i="1"/>
  <c r="Q56" i="1"/>
  <c r="R56" i="1"/>
  <c r="T56" i="1"/>
  <c r="U56" i="1"/>
  <c r="V56" i="1"/>
  <c r="W56" i="1"/>
  <c r="X56" i="1"/>
  <c r="Y56" i="1"/>
  <c r="AA56" i="1"/>
  <c r="B63" i="1"/>
  <c r="B62" i="1"/>
  <c r="Z61" i="1"/>
  <c r="Z60" i="1"/>
  <c r="Z59" i="1"/>
  <c r="Z57" i="1"/>
  <c r="O56" i="1" l="1"/>
  <c r="E63" i="1"/>
  <c r="D92" i="6"/>
  <c r="E92" i="6"/>
  <c r="F92" i="6"/>
  <c r="C92" i="6"/>
  <c r="C31" i="5"/>
  <c r="C30" i="5"/>
  <c r="K514" i="3"/>
  <c r="K513" i="3" s="1"/>
  <c r="J514" i="3"/>
  <c r="J513" i="3" s="1"/>
  <c r="S515" i="3"/>
  <c r="V515" i="3" s="1"/>
  <c r="U514" i="3"/>
  <c r="U513" i="3" s="1"/>
  <c r="T515" i="3"/>
  <c r="P514" i="3"/>
  <c r="P513" i="3" s="1"/>
  <c r="Q514" i="3"/>
  <c r="Q513" i="3" s="1"/>
  <c r="R514" i="3"/>
  <c r="R513" i="3" s="1"/>
  <c r="O514" i="3"/>
  <c r="I514" i="3"/>
  <c r="I513" i="3" s="1"/>
  <c r="Z518" i="1"/>
  <c r="E518" i="1" s="1"/>
  <c r="E517" i="1" s="1"/>
  <c r="E516" i="1" s="1"/>
  <c r="F517" i="1"/>
  <c r="F516" i="1" s="1"/>
  <c r="G517" i="1"/>
  <c r="G516" i="1" s="1"/>
  <c r="H517" i="1"/>
  <c r="H516" i="1" s="1"/>
  <c r="I517" i="1"/>
  <c r="I516" i="1" s="1"/>
  <c r="J517" i="1"/>
  <c r="J516" i="1" s="1"/>
  <c r="K517" i="1"/>
  <c r="K516" i="1" s="1"/>
  <c r="L517" i="1"/>
  <c r="L516" i="1" s="1"/>
  <c r="M517" i="1"/>
  <c r="M516" i="1" s="1"/>
  <c r="N517" i="1"/>
  <c r="N516" i="1" s="1"/>
  <c r="O517" i="1"/>
  <c r="O516" i="1" s="1"/>
  <c r="P517" i="1"/>
  <c r="P516" i="1" s="1"/>
  <c r="Q517" i="1"/>
  <c r="Q516" i="1" s="1"/>
  <c r="R517" i="1"/>
  <c r="R516" i="1" s="1"/>
  <c r="S517" i="1"/>
  <c r="S516" i="1" s="1"/>
  <c r="T517" i="1"/>
  <c r="T516" i="1" s="1"/>
  <c r="U517" i="1"/>
  <c r="U516" i="1" s="1"/>
  <c r="V517" i="1"/>
  <c r="V516" i="1" s="1"/>
  <c r="W517" i="1"/>
  <c r="W516" i="1" s="1"/>
  <c r="X517" i="1"/>
  <c r="X516" i="1" s="1"/>
  <c r="Y517" i="1"/>
  <c r="Y516" i="1" s="1"/>
  <c r="AA517" i="1"/>
  <c r="AA516" i="1" s="1"/>
  <c r="S514" i="3" l="1"/>
  <c r="S513" i="3" s="1"/>
  <c r="O513" i="3"/>
  <c r="V513" i="3" s="1"/>
  <c r="T513" i="3"/>
  <c r="T514" i="3"/>
  <c r="Z517" i="1"/>
  <c r="Z516" i="1" s="1"/>
  <c r="V514" i="3" l="1"/>
  <c r="C29" i="5"/>
  <c r="C32" i="5" s="1"/>
  <c r="U532" i="3"/>
  <c r="U529" i="3"/>
  <c r="T520" i="3"/>
  <c r="T521" i="3"/>
  <c r="T522" i="3"/>
  <c r="T526" i="3"/>
  <c r="T527" i="3"/>
  <c r="T528" i="3"/>
  <c r="T530" i="3"/>
  <c r="T531" i="3"/>
  <c r="T533" i="3"/>
  <c r="T519" i="3"/>
  <c r="S533" i="3"/>
  <c r="V533" i="3" s="1"/>
  <c r="S531" i="3"/>
  <c r="V531" i="3" s="1"/>
  <c r="S530" i="3"/>
  <c r="V530" i="3" s="1"/>
  <c r="S527" i="3"/>
  <c r="V527" i="3" s="1"/>
  <c r="S528" i="3"/>
  <c r="V528" i="3" s="1"/>
  <c r="S526" i="3"/>
  <c r="V526" i="3" s="1"/>
  <c r="S520" i="3"/>
  <c r="V520" i="3" s="1"/>
  <c r="S521" i="3"/>
  <c r="V521" i="3" s="1"/>
  <c r="S522" i="3"/>
  <c r="V522" i="3" s="1"/>
  <c r="S519" i="3"/>
  <c r="V519" i="3" s="1"/>
  <c r="P532" i="3"/>
  <c r="Q532" i="3"/>
  <c r="R532" i="3"/>
  <c r="P529" i="3"/>
  <c r="Q529" i="3"/>
  <c r="R529" i="3"/>
  <c r="P525" i="3"/>
  <c r="Q525" i="3"/>
  <c r="R525" i="3"/>
  <c r="R517" i="3" s="1"/>
  <c r="J532" i="3"/>
  <c r="K532" i="3"/>
  <c r="I532" i="3"/>
  <c r="J529" i="3"/>
  <c r="K529" i="3"/>
  <c r="I529" i="3"/>
  <c r="J525" i="3"/>
  <c r="K525" i="3"/>
  <c r="I525" i="3"/>
  <c r="S532" i="3" l="1"/>
  <c r="V532" i="3" s="1"/>
  <c r="S518" i="3"/>
  <c r="V518" i="3" s="1"/>
  <c r="Q517" i="3"/>
  <c r="C36" i="5" s="1"/>
  <c r="P517" i="3"/>
  <c r="I517" i="3"/>
  <c r="K517" i="3"/>
  <c r="J517" i="3"/>
  <c r="C37" i="5"/>
  <c r="T518" i="3"/>
  <c r="T525" i="3"/>
  <c r="T529" i="3"/>
  <c r="T532" i="3"/>
  <c r="U525" i="3"/>
  <c r="U517" i="3" s="1"/>
  <c r="S529" i="3"/>
  <c r="V529" i="3" s="1"/>
  <c r="S525" i="3"/>
  <c r="V525" i="3" s="1"/>
  <c r="S517" i="3" l="1"/>
  <c r="V517" i="3" s="1"/>
  <c r="C35" i="5"/>
  <c r="C38" i="5" s="1"/>
  <c r="T517" i="3"/>
  <c r="Z536" i="1" l="1"/>
  <c r="Z535" i="1" s="1"/>
  <c r="Z534" i="1"/>
  <c r="E534" i="1" s="1"/>
  <c r="Z533" i="1"/>
  <c r="Z531" i="1"/>
  <c r="E531" i="1" s="1"/>
  <c r="Z530" i="1"/>
  <c r="E530" i="1" s="1"/>
  <c r="Z529" i="1"/>
  <c r="E529" i="1" s="1"/>
  <c r="Z525" i="1"/>
  <c r="E525" i="1" s="1"/>
  <c r="Z524" i="1"/>
  <c r="E524" i="1" s="1"/>
  <c r="Z523" i="1"/>
  <c r="E523" i="1" s="1"/>
  <c r="Z522" i="1"/>
  <c r="F528" i="1"/>
  <c r="F520" i="1" s="1"/>
  <c r="G528" i="1"/>
  <c r="G520" i="1" s="1"/>
  <c r="H528" i="1"/>
  <c r="I528" i="1"/>
  <c r="J528" i="1"/>
  <c r="K528" i="1"/>
  <c r="L528" i="1"/>
  <c r="M528" i="1"/>
  <c r="N528" i="1"/>
  <c r="N520" i="1" s="1"/>
  <c r="O528" i="1"/>
  <c r="O520" i="1" s="1"/>
  <c r="P528" i="1"/>
  <c r="P520" i="1" s="1"/>
  <c r="Q528" i="1"/>
  <c r="Q520" i="1" s="1"/>
  <c r="R528" i="1"/>
  <c r="R520" i="1" s="1"/>
  <c r="S528" i="1"/>
  <c r="S520" i="1" s="1"/>
  <c r="T528" i="1"/>
  <c r="U528" i="1"/>
  <c r="V528" i="1"/>
  <c r="W528" i="1"/>
  <c r="X528" i="1"/>
  <c r="Y528" i="1"/>
  <c r="AA528" i="1"/>
  <c r="AA520" i="1" s="1"/>
  <c r="F532" i="1"/>
  <c r="G532" i="1"/>
  <c r="H532" i="1"/>
  <c r="I532" i="1"/>
  <c r="J532" i="1"/>
  <c r="K532" i="1"/>
  <c r="L532" i="1"/>
  <c r="M532" i="1"/>
  <c r="N532" i="1"/>
  <c r="O532" i="1"/>
  <c r="P532" i="1"/>
  <c r="Q532" i="1"/>
  <c r="R532" i="1"/>
  <c r="S532" i="1"/>
  <c r="T532" i="1"/>
  <c r="U532" i="1"/>
  <c r="V532" i="1"/>
  <c r="W532" i="1"/>
  <c r="X532" i="1"/>
  <c r="Y532" i="1"/>
  <c r="AA532" i="1"/>
  <c r="F535" i="1"/>
  <c r="G535" i="1"/>
  <c r="H535" i="1"/>
  <c r="I535" i="1"/>
  <c r="J535" i="1"/>
  <c r="K535" i="1"/>
  <c r="L535" i="1"/>
  <c r="M535" i="1"/>
  <c r="N535" i="1"/>
  <c r="O535" i="1"/>
  <c r="P535" i="1"/>
  <c r="Q535" i="1"/>
  <c r="R535" i="1"/>
  <c r="S535" i="1"/>
  <c r="T535" i="1"/>
  <c r="U535" i="1"/>
  <c r="V535" i="1"/>
  <c r="W535" i="1"/>
  <c r="X535" i="1"/>
  <c r="Y535" i="1"/>
  <c r="AA535" i="1"/>
  <c r="M520" i="1" l="1"/>
  <c r="X520" i="1"/>
  <c r="W520" i="1"/>
  <c r="V520" i="1"/>
  <c r="J520" i="1"/>
  <c r="Y520" i="1"/>
  <c r="K520" i="1"/>
  <c r="U520" i="1"/>
  <c r="I520" i="1"/>
  <c r="L520" i="1"/>
  <c r="T520" i="1"/>
  <c r="H520" i="1"/>
  <c r="Z521" i="1"/>
  <c r="E536" i="1"/>
  <c r="E535" i="1" s="1"/>
  <c r="Z532" i="1"/>
  <c r="E533" i="1"/>
  <c r="E532" i="1" s="1"/>
  <c r="Z528" i="1"/>
  <c r="E522" i="1"/>
  <c r="E521" i="1" s="1"/>
  <c r="E520" i="1" s="1"/>
  <c r="E528" i="1"/>
  <c r="Z520" i="1" l="1"/>
  <c r="T131" i="3"/>
  <c r="T132" i="3"/>
  <c r="R132" i="3"/>
  <c r="R131" i="3"/>
  <c r="U128" i="3"/>
  <c r="P128" i="3"/>
  <c r="Q128" i="3"/>
  <c r="O128" i="3"/>
  <c r="J128" i="3"/>
  <c r="K128" i="3"/>
  <c r="I128" i="3"/>
  <c r="B131" i="3"/>
  <c r="B132" i="3"/>
  <c r="Z135" i="1"/>
  <c r="E135" i="1" s="1"/>
  <c r="Z134" i="1"/>
  <c r="E134" i="1" s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AA131" i="1"/>
  <c r="B134" i="1"/>
  <c r="B135" i="1"/>
  <c r="Z78" i="1"/>
  <c r="E78" i="1" s="1"/>
  <c r="P400" i="3"/>
  <c r="Q400" i="3"/>
  <c r="R400" i="3"/>
  <c r="O400" i="3"/>
  <c r="J61" i="3"/>
  <c r="K61" i="3"/>
  <c r="I61" i="3"/>
  <c r="T75" i="3"/>
  <c r="P61" i="3"/>
  <c r="Q61" i="3"/>
  <c r="R61" i="3"/>
  <c r="O61" i="3"/>
  <c r="S75" i="3"/>
  <c r="V75" i="3" s="1"/>
  <c r="B75" i="3"/>
  <c r="F64" i="1"/>
  <c r="G64" i="1"/>
  <c r="H64" i="1"/>
  <c r="I64" i="1"/>
  <c r="K64" i="1"/>
  <c r="L64" i="1"/>
  <c r="M64" i="1"/>
  <c r="N64" i="1"/>
  <c r="O64" i="1"/>
  <c r="P64" i="1"/>
  <c r="Q64" i="1"/>
  <c r="R64" i="1"/>
  <c r="T64" i="1"/>
  <c r="U64" i="1"/>
  <c r="V64" i="1"/>
  <c r="W64" i="1"/>
  <c r="X64" i="1"/>
  <c r="AA64" i="1"/>
  <c r="B70" i="1"/>
  <c r="B71" i="1"/>
  <c r="B72" i="1"/>
  <c r="B73" i="1"/>
  <c r="B74" i="1"/>
  <c r="B75" i="1"/>
  <c r="B76" i="1"/>
  <c r="B77" i="1"/>
  <c r="B78" i="1"/>
  <c r="S131" i="3" l="1"/>
  <c r="V131" i="3" s="1"/>
  <c r="S132" i="3"/>
  <c r="V132" i="3" s="1"/>
  <c r="R128" i="3"/>
  <c r="Y64" i="1"/>
  <c r="B438" i="3" l="1"/>
  <c r="T438" i="3"/>
  <c r="S438" i="3"/>
  <c r="V438" i="3" s="1"/>
  <c r="T437" i="3"/>
  <c r="S437" i="3"/>
  <c r="V437" i="3" s="1"/>
  <c r="T436" i="3"/>
  <c r="S436" i="3"/>
  <c r="V436" i="3" s="1"/>
  <c r="T435" i="3"/>
  <c r="S435" i="3"/>
  <c r="V435" i="3" s="1"/>
  <c r="T434" i="3"/>
  <c r="S434" i="3"/>
  <c r="V434" i="3" s="1"/>
  <c r="T433" i="3"/>
  <c r="S433" i="3"/>
  <c r="V433" i="3" s="1"/>
  <c r="T432" i="3"/>
  <c r="S432" i="3"/>
  <c r="V432" i="3" s="1"/>
  <c r="T431" i="3"/>
  <c r="U431" i="3" s="1"/>
  <c r="U425" i="3" s="1"/>
  <c r="S431" i="3"/>
  <c r="V431" i="3" s="1"/>
  <c r="T430" i="3"/>
  <c r="S430" i="3"/>
  <c r="V430" i="3" s="1"/>
  <c r="T429" i="3"/>
  <c r="S429" i="3"/>
  <c r="V429" i="3" s="1"/>
  <c r="T428" i="3"/>
  <c r="S428" i="3"/>
  <c r="V428" i="3" s="1"/>
  <c r="T427" i="3"/>
  <c r="S427" i="3"/>
  <c r="V427" i="3" s="1"/>
  <c r="T426" i="3"/>
  <c r="S426" i="3"/>
  <c r="V426" i="3" s="1"/>
  <c r="R425" i="3"/>
  <c r="Q425" i="3"/>
  <c r="P425" i="3"/>
  <c r="O425" i="3"/>
  <c r="K425" i="3"/>
  <c r="J425" i="3"/>
  <c r="I425" i="3"/>
  <c r="T102" i="3"/>
  <c r="S102" i="3"/>
  <c r="V102" i="3" s="1"/>
  <c r="T101" i="3"/>
  <c r="S101" i="3"/>
  <c r="V101" i="3" s="1"/>
  <c r="T100" i="3"/>
  <c r="S100" i="3"/>
  <c r="V100" i="3" s="1"/>
  <c r="T99" i="3"/>
  <c r="S99" i="3"/>
  <c r="V99" i="3" s="1"/>
  <c r="T98" i="3"/>
  <c r="S98" i="3"/>
  <c r="V98" i="3" s="1"/>
  <c r="T97" i="3"/>
  <c r="S97" i="3"/>
  <c r="V97" i="3" s="1"/>
  <c r="T96" i="3"/>
  <c r="S96" i="3"/>
  <c r="V96" i="3" s="1"/>
  <c r="T95" i="3"/>
  <c r="S95" i="3"/>
  <c r="V95" i="3" s="1"/>
  <c r="T94" i="3"/>
  <c r="S94" i="3"/>
  <c r="V94" i="3" s="1"/>
  <c r="T93" i="3"/>
  <c r="S93" i="3"/>
  <c r="V93" i="3" s="1"/>
  <c r="T92" i="3"/>
  <c r="S92" i="3"/>
  <c r="V92" i="3" s="1"/>
  <c r="T91" i="3"/>
  <c r="S91" i="3"/>
  <c r="V91" i="3" s="1"/>
  <c r="T90" i="3"/>
  <c r="S90" i="3"/>
  <c r="V90" i="3" s="1"/>
  <c r="T89" i="3"/>
  <c r="S89" i="3"/>
  <c r="V89" i="3" s="1"/>
  <c r="U88" i="3"/>
  <c r="R88" i="3"/>
  <c r="Q88" i="3"/>
  <c r="P88" i="3"/>
  <c r="O88" i="3"/>
  <c r="K88" i="3"/>
  <c r="J88" i="3"/>
  <c r="I88" i="3"/>
  <c r="B441" i="1"/>
  <c r="Z441" i="1"/>
  <c r="E441" i="1" s="1"/>
  <c r="Z440" i="1"/>
  <c r="E440" i="1" s="1"/>
  <c r="Z439" i="1"/>
  <c r="E439" i="1" s="1"/>
  <c r="Z438" i="1"/>
  <c r="E438" i="1" s="1"/>
  <c r="Z437" i="1"/>
  <c r="E437" i="1" s="1"/>
  <c r="Z436" i="1"/>
  <c r="E436" i="1" s="1"/>
  <c r="Z435" i="1"/>
  <c r="E435" i="1" s="1"/>
  <c r="Z434" i="1"/>
  <c r="Z433" i="1"/>
  <c r="E433" i="1" s="1"/>
  <c r="Z432" i="1"/>
  <c r="E432" i="1" s="1"/>
  <c r="Z431" i="1"/>
  <c r="E431" i="1" s="1"/>
  <c r="Z430" i="1"/>
  <c r="E430" i="1" s="1"/>
  <c r="Z429" i="1"/>
  <c r="E429" i="1" s="1"/>
  <c r="AA428" i="1"/>
  <c r="Y428" i="1"/>
  <c r="X428" i="1"/>
  <c r="W428" i="1"/>
  <c r="V428" i="1"/>
  <c r="U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H428" i="1"/>
  <c r="G428" i="1"/>
  <c r="F428" i="1"/>
  <c r="Z105" i="1"/>
  <c r="E105" i="1" s="1"/>
  <c r="Z104" i="1"/>
  <c r="E104" i="1" s="1"/>
  <c r="Z103" i="1"/>
  <c r="E103" i="1" s="1"/>
  <c r="Z102" i="1"/>
  <c r="E102" i="1" s="1"/>
  <c r="O101" i="1"/>
  <c r="Z101" i="1" s="1"/>
  <c r="E101" i="1" s="1"/>
  <c r="Z100" i="1"/>
  <c r="E100" i="1" s="1"/>
  <c r="Z99" i="1"/>
  <c r="E99" i="1" s="1"/>
  <c r="O98" i="1"/>
  <c r="Z98" i="1" s="1"/>
  <c r="Z97" i="1"/>
  <c r="E97" i="1" s="1"/>
  <c r="O96" i="1"/>
  <c r="Z95" i="1"/>
  <c r="E95" i="1" s="1"/>
  <c r="Z94" i="1"/>
  <c r="E94" i="1" s="1"/>
  <c r="Z93" i="1"/>
  <c r="E93" i="1" s="1"/>
  <c r="Z92" i="1"/>
  <c r="E92" i="1" s="1"/>
  <c r="AA91" i="1"/>
  <c r="Y91" i="1"/>
  <c r="X91" i="1"/>
  <c r="W91" i="1"/>
  <c r="V91" i="1"/>
  <c r="U91" i="1"/>
  <c r="T91" i="1"/>
  <c r="S91" i="1"/>
  <c r="R91" i="1"/>
  <c r="Q91" i="1"/>
  <c r="P91" i="1"/>
  <c r="N91" i="1"/>
  <c r="M91" i="1"/>
  <c r="L91" i="1"/>
  <c r="K91" i="1"/>
  <c r="J91" i="1"/>
  <c r="I91" i="1"/>
  <c r="H91" i="1"/>
  <c r="G91" i="1"/>
  <c r="F91" i="1"/>
  <c r="O489" i="3"/>
  <c r="O496" i="1"/>
  <c r="O495" i="1"/>
  <c r="O91" i="1" l="1"/>
  <c r="T425" i="3"/>
  <c r="S88" i="3"/>
  <c r="V88" i="3" s="1"/>
  <c r="S425" i="3"/>
  <c r="V425" i="3" s="1"/>
  <c r="Z428" i="1"/>
  <c r="T88" i="3"/>
  <c r="E434" i="1"/>
  <c r="E428" i="1" s="1"/>
  <c r="Z96" i="1"/>
  <c r="E96" i="1" s="1"/>
  <c r="E98" i="1"/>
  <c r="T180" i="3"/>
  <c r="S180" i="3"/>
  <c r="V180" i="3" s="1"/>
  <c r="U171" i="3"/>
  <c r="P171" i="3"/>
  <c r="Q171" i="3"/>
  <c r="R171" i="3"/>
  <c r="O171" i="3"/>
  <c r="J171" i="3"/>
  <c r="K171" i="3"/>
  <c r="I171" i="3"/>
  <c r="B175" i="3"/>
  <c r="B176" i="3"/>
  <c r="B177" i="3"/>
  <c r="B178" i="3"/>
  <c r="B179" i="3"/>
  <c r="B180" i="3"/>
  <c r="Z183" i="1"/>
  <c r="E91" i="1" l="1"/>
  <c r="Z91" i="1"/>
  <c r="F174" i="1"/>
  <c r="G174" i="1"/>
  <c r="H174" i="1"/>
  <c r="I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AA174" i="1"/>
  <c r="E183" i="1" l="1"/>
  <c r="B183" i="1" l="1"/>
  <c r="E65" i="6" l="1"/>
  <c r="D38" i="6"/>
  <c r="E38" i="6"/>
  <c r="F38" i="6"/>
  <c r="C38" i="6"/>
  <c r="B40" i="3" l="1"/>
  <c r="B41" i="3"/>
  <c r="B42" i="1"/>
  <c r="B43" i="1"/>
  <c r="B44" i="1"/>
  <c r="K477" i="3" l="1"/>
  <c r="I477" i="3"/>
  <c r="J483" i="3"/>
  <c r="K483" i="3"/>
  <c r="I483" i="3"/>
  <c r="P483" i="3"/>
  <c r="Q483" i="3"/>
  <c r="R483" i="3"/>
  <c r="O483" i="3"/>
  <c r="U483" i="3"/>
  <c r="U477" i="3"/>
  <c r="P477" i="3"/>
  <c r="Q477" i="3"/>
  <c r="R477" i="3"/>
  <c r="O477" i="3"/>
  <c r="J477" i="3"/>
  <c r="U462" i="3"/>
  <c r="P462" i="3"/>
  <c r="Q462" i="3"/>
  <c r="R462" i="3"/>
  <c r="O462" i="3"/>
  <c r="J462" i="3"/>
  <c r="K462" i="3"/>
  <c r="I462" i="3"/>
  <c r="U340" i="3"/>
  <c r="P340" i="3"/>
  <c r="Q340" i="3"/>
  <c r="R340" i="3"/>
  <c r="O340" i="3"/>
  <c r="J340" i="3"/>
  <c r="K340" i="3"/>
  <c r="I340" i="3"/>
  <c r="U337" i="3"/>
  <c r="P337" i="3"/>
  <c r="Q337" i="3"/>
  <c r="R337" i="3"/>
  <c r="O337" i="3"/>
  <c r="J337" i="3"/>
  <c r="K337" i="3"/>
  <c r="I337" i="3"/>
  <c r="U138" i="3"/>
  <c r="P138" i="3"/>
  <c r="Q138" i="3"/>
  <c r="R138" i="3"/>
  <c r="O138" i="3"/>
  <c r="J138" i="3"/>
  <c r="K138" i="3"/>
  <c r="I138" i="3"/>
  <c r="U161" i="3"/>
  <c r="P161" i="3"/>
  <c r="Q161" i="3"/>
  <c r="R161" i="3"/>
  <c r="O161" i="3"/>
  <c r="J161" i="3"/>
  <c r="K161" i="3"/>
  <c r="I161" i="3"/>
  <c r="U153" i="3"/>
  <c r="P153" i="3"/>
  <c r="Q153" i="3"/>
  <c r="R153" i="3"/>
  <c r="O153" i="3"/>
  <c r="J153" i="3"/>
  <c r="K153" i="3"/>
  <c r="I153" i="3"/>
  <c r="U327" i="3"/>
  <c r="P327" i="3"/>
  <c r="Q327" i="3"/>
  <c r="R327" i="3"/>
  <c r="O327" i="3"/>
  <c r="J327" i="3"/>
  <c r="K327" i="3"/>
  <c r="I327" i="3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AA141" i="1"/>
  <c r="F330" i="1"/>
  <c r="G330" i="1"/>
  <c r="H330" i="1"/>
  <c r="I330" i="1"/>
  <c r="J330" i="1"/>
  <c r="K330" i="1"/>
  <c r="L330" i="1"/>
  <c r="M330" i="1"/>
  <c r="N330" i="1"/>
  <c r="O330" i="1"/>
  <c r="P330" i="1"/>
  <c r="Q330" i="1"/>
  <c r="R330" i="1"/>
  <c r="S330" i="1"/>
  <c r="T330" i="1"/>
  <c r="U330" i="1"/>
  <c r="V330" i="1"/>
  <c r="W330" i="1"/>
  <c r="X330" i="1"/>
  <c r="Y330" i="1"/>
  <c r="AA330" i="1"/>
  <c r="F465" i="1"/>
  <c r="G465" i="1"/>
  <c r="H465" i="1"/>
  <c r="I465" i="1"/>
  <c r="J465" i="1"/>
  <c r="K465" i="1"/>
  <c r="L465" i="1"/>
  <c r="M465" i="1"/>
  <c r="N465" i="1"/>
  <c r="O465" i="1"/>
  <c r="P465" i="1"/>
  <c r="Q465" i="1"/>
  <c r="R465" i="1"/>
  <c r="S465" i="1"/>
  <c r="T465" i="1"/>
  <c r="U465" i="1"/>
  <c r="V465" i="1"/>
  <c r="W465" i="1"/>
  <c r="X465" i="1"/>
  <c r="Y465" i="1"/>
  <c r="AA465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R480" i="1"/>
  <c r="S480" i="1"/>
  <c r="T480" i="1"/>
  <c r="U480" i="1"/>
  <c r="V480" i="1"/>
  <c r="W480" i="1"/>
  <c r="X480" i="1"/>
  <c r="Y480" i="1"/>
  <c r="AA480" i="1"/>
  <c r="F486" i="1"/>
  <c r="G486" i="1"/>
  <c r="H486" i="1"/>
  <c r="I486" i="1"/>
  <c r="J486" i="1"/>
  <c r="K486" i="1"/>
  <c r="L486" i="1"/>
  <c r="M486" i="1"/>
  <c r="N486" i="1"/>
  <c r="O486" i="1"/>
  <c r="P486" i="1"/>
  <c r="Q486" i="1"/>
  <c r="R486" i="1"/>
  <c r="S486" i="1"/>
  <c r="T486" i="1"/>
  <c r="U486" i="1"/>
  <c r="V486" i="1"/>
  <c r="W486" i="1"/>
  <c r="X486" i="1"/>
  <c r="Y486" i="1"/>
  <c r="AA486" i="1"/>
  <c r="F343" i="1"/>
  <c r="G343" i="1"/>
  <c r="H343" i="1"/>
  <c r="I343" i="1"/>
  <c r="J343" i="1"/>
  <c r="K343" i="1"/>
  <c r="L343" i="1"/>
  <c r="M343" i="1"/>
  <c r="N343" i="1"/>
  <c r="O343" i="1"/>
  <c r="P343" i="1"/>
  <c r="Q343" i="1"/>
  <c r="R343" i="1"/>
  <c r="S343" i="1"/>
  <c r="T343" i="1"/>
  <c r="U343" i="1"/>
  <c r="V343" i="1"/>
  <c r="W343" i="1"/>
  <c r="X343" i="1"/>
  <c r="Y343" i="1"/>
  <c r="AA343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R340" i="1"/>
  <c r="S340" i="1"/>
  <c r="T340" i="1"/>
  <c r="U340" i="1"/>
  <c r="V340" i="1"/>
  <c r="W340" i="1"/>
  <c r="X340" i="1"/>
  <c r="Y340" i="1"/>
  <c r="AA340" i="1"/>
  <c r="F164" i="1"/>
  <c r="G164" i="1"/>
  <c r="H164" i="1"/>
  <c r="I164" i="1"/>
  <c r="J164" i="1"/>
  <c r="K164" i="1"/>
  <c r="L164" i="1"/>
  <c r="M164" i="1"/>
  <c r="N164" i="1"/>
  <c r="P164" i="1"/>
  <c r="Q164" i="1"/>
  <c r="R164" i="1"/>
  <c r="S164" i="1"/>
  <c r="T164" i="1"/>
  <c r="U164" i="1"/>
  <c r="V164" i="1"/>
  <c r="W164" i="1"/>
  <c r="X164" i="1"/>
  <c r="Y164" i="1"/>
  <c r="AA164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AA156" i="1"/>
  <c r="B458" i="3"/>
  <c r="B459" i="3"/>
  <c r="B460" i="3"/>
  <c r="B461" i="3"/>
  <c r="T459" i="3"/>
  <c r="S459" i="3"/>
  <c r="V459" i="3" s="1"/>
  <c r="U454" i="3"/>
  <c r="P454" i="3"/>
  <c r="Q454" i="3"/>
  <c r="R454" i="3"/>
  <c r="O454" i="3"/>
  <c r="J454" i="3"/>
  <c r="K454" i="3"/>
  <c r="I454" i="3"/>
  <c r="S460" i="3"/>
  <c r="V460" i="3" s="1"/>
  <c r="T460" i="3"/>
  <c r="P133" i="3"/>
  <c r="Q133" i="3"/>
  <c r="R133" i="3"/>
  <c r="O133" i="3"/>
  <c r="J133" i="3"/>
  <c r="K133" i="3"/>
  <c r="I133" i="3"/>
  <c r="F457" i="1"/>
  <c r="G457" i="1"/>
  <c r="H457" i="1"/>
  <c r="I457" i="1"/>
  <c r="J457" i="1"/>
  <c r="K457" i="1"/>
  <c r="L457" i="1"/>
  <c r="M457" i="1"/>
  <c r="N457" i="1"/>
  <c r="O457" i="1"/>
  <c r="P457" i="1"/>
  <c r="Q457" i="1"/>
  <c r="R457" i="1"/>
  <c r="S457" i="1"/>
  <c r="T457" i="1"/>
  <c r="U457" i="1"/>
  <c r="V457" i="1"/>
  <c r="W457" i="1"/>
  <c r="X457" i="1"/>
  <c r="Y457" i="1"/>
  <c r="AA457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AA120" i="1"/>
  <c r="F136" i="1"/>
  <c r="G136" i="1"/>
  <c r="H136" i="1"/>
  <c r="I136" i="1"/>
  <c r="J136" i="1"/>
  <c r="K136" i="1"/>
  <c r="L136" i="1"/>
  <c r="M136" i="1"/>
  <c r="N136" i="1"/>
  <c r="P136" i="1"/>
  <c r="Q136" i="1"/>
  <c r="R136" i="1"/>
  <c r="S136" i="1"/>
  <c r="T136" i="1"/>
  <c r="U136" i="1"/>
  <c r="V136" i="1"/>
  <c r="W136" i="1"/>
  <c r="X136" i="1"/>
  <c r="Y136" i="1"/>
  <c r="AA136" i="1"/>
  <c r="U117" i="3"/>
  <c r="P117" i="3"/>
  <c r="Q117" i="3"/>
  <c r="R117" i="3"/>
  <c r="O117" i="3"/>
  <c r="J117" i="3"/>
  <c r="K117" i="3"/>
  <c r="I117" i="3"/>
  <c r="U449" i="3"/>
  <c r="P449" i="3"/>
  <c r="Q449" i="3"/>
  <c r="R449" i="3"/>
  <c r="O449" i="3"/>
  <c r="J449" i="3"/>
  <c r="K449" i="3"/>
  <c r="I449" i="3"/>
  <c r="U124" i="3"/>
  <c r="P124" i="3"/>
  <c r="Q124" i="3"/>
  <c r="R124" i="3"/>
  <c r="J124" i="3"/>
  <c r="K124" i="3"/>
  <c r="I124" i="3"/>
  <c r="F127" i="1" l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AA127" i="1"/>
  <c r="F452" i="1"/>
  <c r="G452" i="1"/>
  <c r="H452" i="1"/>
  <c r="I452" i="1"/>
  <c r="J452" i="1"/>
  <c r="K452" i="1"/>
  <c r="L452" i="1"/>
  <c r="M452" i="1"/>
  <c r="N452" i="1"/>
  <c r="O452" i="1"/>
  <c r="P452" i="1"/>
  <c r="Q452" i="1"/>
  <c r="R452" i="1"/>
  <c r="S452" i="1"/>
  <c r="T452" i="1"/>
  <c r="U452" i="1"/>
  <c r="V452" i="1"/>
  <c r="W452" i="1"/>
  <c r="X452" i="1"/>
  <c r="Y452" i="1"/>
  <c r="AA452" i="1"/>
  <c r="B102" i="3" l="1"/>
  <c r="B437" i="3"/>
  <c r="B440" i="1"/>
  <c r="B105" i="1" l="1"/>
  <c r="T130" i="3"/>
  <c r="S130" i="3"/>
  <c r="V130" i="3" s="1"/>
  <c r="B130" i="3"/>
  <c r="Z133" i="1"/>
  <c r="E133" i="1" s="1"/>
  <c r="B133" i="1"/>
  <c r="B195" i="3"/>
  <c r="B194" i="3"/>
  <c r="B192" i="3"/>
  <c r="B191" i="3"/>
  <c r="B190" i="3"/>
  <c r="B188" i="3"/>
  <c r="B186" i="3"/>
  <c r="B185" i="3"/>
  <c r="B184" i="3"/>
  <c r="B183" i="3"/>
  <c r="B182" i="3"/>
  <c r="B174" i="3"/>
  <c r="B173" i="3"/>
  <c r="B172" i="3"/>
  <c r="B170" i="3"/>
  <c r="B160" i="3"/>
  <c r="B159" i="3"/>
  <c r="B158" i="3"/>
  <c r="B168" i="3"/>
  <c r="B167" i="3"/>
  <c r="B166" i="3"/>
  <c r="B165" i="3"/>
  <c r="B164" i="3"/>
  <c r="B163" i="3"/>
  <c r="B162" i="3"/>
  <c r="B157" i="3"/>
  <c r="B156" i="3"/>
  <c r="B155" i="3"/>
  <c r="B154" i="3"/>
  <c r="B152" i="3"/>
  <c r="B151" i="3"/>
  <c r="B150" i="3"/>
  <c r="B148" i="3"/>
  <c r="B147" i="3"/>
  <c r="B146" i="3"/>
  <c r="B145" i="3"/>
  <c r="B144" i="3"/>
  <c r="B142" i="3"/>
  <c r="B141" i="3"/>
  <c r="B140" i="3"/>
  <c r="B139" i="3"/>
  <c r="B137" i="3"/>
  <c r="B136" i="3"/>
  <c r="B135" i="3"/>
  <c r="B134" i="3"/>
  <c r="B129" i="3"/>
  <c r="B127" i="3"/>
  <c r="B126" i="3"/>
  <c r="B125" i="3"/>
  <c r="B123" i="3"/>
  <c r="B122" i="3"/>
  <c r="B121" i="3"/>
  <c r="B120" i="3"/>
  <c r="B119" i="3"/>
  <c r="B118" i="3"/>
  <c r="B116" i="3"/>
  <c r="B115" i="3"/>
  <c r="B113" i="3"/>
  <c r="B111" i="3"/>
  <c r="B109" i="3"/>
  <c r="B105" i="3"/>
  <c r="B104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7" i="3"/>
  <c r="B85" i="3"/>
  <c r="B84" i="3"/>
  <c r="B83" i="3"/>
  <c r="B82" i="3"/>
  <c r="B81" i="3"/>
  <c r="B80" i="3"/>
  <c r="B79" i="3"/>
  <c r="B78" i="3"/>
  <c r="B77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59" i="3"/>
  <c r="B58" i="3"/>
  <c r="B57" i="3"/>
  <c r="B56" i="3"/>
  <c r="B55" i="3"/>
  <c r="B54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98" i="1"/>
  <c r="B197" i="1"/>
  <c r="B195" i="1"/>
  <c r="B194" i="1"/>
  <c r="B193" i="1"/>
  <c r="B191" i="1"/>
  <c r="B189" i="1"/>
  <c r="B188" i="1"/>
  <c r="B187" i="1"/>
  <c r="B186" i="1"/>
  <c r="B185" i="1"/>
  <c r="B182" i="1"/>
  <c r="B181" i="1"/>
  <c r="B180" i="1"/>
  <c r="B179" i="1"/>
  <c r="B178" i="1"/>
  <c r="B177" i="1"/>
  <c r="B176" i="1"/>
  <c r="B175" i="1"/>
  <c r="B173" i="1"/>
  <c r="B163" i="1"/>
  <c r="B162" i="1"/>
  <c r="B161" i="1"/>
  <c r="B171" i="1"/>
  <c r="B170" i="1"/>
  <c r="B169" i="1"/>
  <c r="B168" i="1"/>
  <c r="B167" i="1"/>
  <c r="B166" i="1"/>
  <c r="B165" i="1"/>
  <c r="B160" i="1"/>
  <c r="B159" i="1"/>
  <c r="B158" i="1"/>
  <c r="B157" i="1"/>
  <c r="B155" i="1"/>
  <c r="B154" i="1"/>
  <c r="B153" i="1"/>
  <c r="B151" i="1"/>
  <c r="B150" i="1"/>
  <c r="B149" i="1"/>
  <c r="B148" i="1"/>
  <c r="B147" i="1"/>
  <c r="B145" i="1"/>
  <c r="B144" i="1"/>
  <c r="B143" i="1"/>
  <c r="B142" i="1"/>
  <c r="B140" i="1"/>
  <c r="B139" i="1"/>
  <c r="B138" i="1"/>
  <c r="B137" i="1"/>
  <c r="B132" i="1"/>
  <c r="B130" i="1"/>
  <c r="B129" i="1"/>
  <c r="B128" i="1"/>
  <c r="B126" i="1"/>
  <c r="B125" i="1"/>
  <c r="B124" i="1"/>
  <c r="B123" i="1"/>
  <c r="B122" i="1"/>
  <c r="B121" i="1"/>
  <c r="B119" i="1"/>
  <c r="B118" i="1"/>
  <c r="B116" i="1"/>
  <c r="B114" i="1"/>
  <c r="B112" i="1"/>
  <c r="B109" i="1"/>
  <c r="B108" i="1"/>
  <c r="B107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0" i="1"/>
  <c r="B88" i="1"/>
  <c r="B87" i="1"/>
  <c r="B86" i="1"/>
  <c r="B85" i="1"/>
  <c r="B84" i="1"/>
  <c r="B83" i="1"/>
  <c r="B82" i="1"/>
  <c r="B81" i="1"/>
  <c r="B80" i="1"/>
  <c r="B69" i="1"/>
  <c r="B68" i="1"/>
  <c r="B67" i="1"/>
  <c r="B66" i="1"/>
  <c r="B65" i="1"/>
  <c r="B61" i="1"/>
  <c r="B60" i="1"/>
  <c r="B59" i="1"/>
  <c r="B58" i="1"/>
  <c r="B57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231" i="3"/>
  <c r="B232" i="3"/>
  <c r="B234" i="1"/>
  <c r="B235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Y283" i="1"/>
  <c r="AA283" i="1"/>
  <c r="B366" i="1"/>
  <c r="B362" i="1"/>
  <c r="B361" i="1"/>
  <c r="B358" i="1"/>
  <c r="B357" i="1"/>
  <c r="B356" i="1"/>
  <c r="B355" i="1"/>
  <c r="B353" i="1"/>
  <c r="B352" i="1"/>
  <c r="B351" i="1"/>
  <c r="B350" i="1"/>
  <c r="B348" i="1"/>
  <c r="B346" i="1"/>
  <c r="B345" i="1"/>
  <c r="B344" i="1"/>
  <c r="B342" i="1"/>
  <c r="B341" i="1"/>
  <c r="B339" i="1"/>
  <c r="B338" i="1"/>
  <c r="B336" i="1"/>
  <c r="B335" i="1"/>
  <c r="B333" i="1"/>
  <c r="B332" i="1"/>
  <c r="B331" i="1"/>
  <c r="B326" i="1"/>
  <c r="B325" i="1"/>
  <c r="B324" i="1"/>
  <c r="B322" i="1"/>
  <c r="B314" i="1"/>
  <c r="B313" i="1"/>
  <c r="B311" i="1"/>
  <c r="B309" i="1"/>
  <c r="B307" i="1"/>
  <c r="B305" i="1"/>
  <c r="B301" i="1"/>
  <c r="B300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2" i="1"/>
  <c r="B281" i="1"/>
  <c r="B275" i="1"/>
  <c r="B274" i="1"/>
  <c r="B273" i="1"/>
  <c r="B272" i="1"/>
  <c r="B271" i="1"/>
  <c r="B270" i="1"/>
  <c r="B269" i="1"/>
  <c r="B268" i="1"/>
  <c r="B267" i="1"/>
  <c r="B249" i="1"/>
  <c r="B248" i="1"/>
  <c r="B244" i="1"/>
  <c r="B243" i="1"/>
  <c r="B242" i="1"/>
  <c r="B241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363" i="3" l="1"/>
  <c r="B359" i="3"/>
  <c r="B358" i="3"/>
  <c r="B355" i="3"/>
  <c r="B354" i="3"/>
  <c r="B353" i="3"/>
  <c r="B352" i="3"/>
  <c r="B350" i="3"/>
  <c r="B349" i="3"/>
  <c r="B348" i="3"/>
  <c r="B347" i="3"/>
  <c r="B345" i="3"/>
  <c r="B343" i="3"/>
  <c r="B342" i="3"/>
  <c r="B341" i="3"/>
  <c r="B339" i="3"/>
  <c r="B338" i="3"/>
  <c r="B336" i="3"/>
  <c r="B335" i="3"/>
  <c r="B333" i="3"/>
  <c r="B332" i="3"/>
  <c r="B330" i="3"/>
  <c r="B329" i="3"/>
  <c r="B328" i="3"/>
  <c r="B325" i="3"/>
  <c r="B324" i="3"/>
  <c r="B323" i="3"/>
  <c r="B322" i="3"/>
  <c r="B321" i="3"/>
  <c r="B319" i="3"/>
  <c r="B311" i="3"/>
  <c r="B310" i="3"/>
  <c r="B308" i="3"/>
  <c r="B306" i="3"/>
  <c r="B304" i="3"/>
  <c r="B302" i="3"/>
  <c r="B298" i="3"/>
  <c r="B297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79" i="3"/>
  <c r="B278" i="3"/>
  <c r="B271" i="3"/>
  <c r="B270" i="3"/>
  <c r="B269" i="3"/>
  <c r="B268" i="3"/>
  <c r="B267" i="3"/>
  <c r="B266" i="3"/>
  <c r="B265" i="3"/>
  <c r="B264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1" i="3"/>
  <c r="B240" i="3"/>
  <c r="B239" i="3"/>
  <c r="B238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514" i="1"/>
  <c r="B512" i="1"/>
  <c r="B510" i="1"/>
  <c r="B508" i="1"/>
  <c r="B506" i="1"/>
  <c r="B504" i="1"/>
  <c r="B503" i="1"/>
  <c r="B502" i="1"/>
  <c r="B501" i="1"/>
  <c r="B500" i="1"/>
  <c r="B499" i="1"/>
  <c r="B497" i="1"/>
  <c r="B496" i="1"/>
  <c r="B495" i="1"/>
  <c r="B494" i="1"/>
  <c r="B493" i="1"/>
  <c r="B491" i="1"/>
  <c r="B489" i="1"/>
  <c r="B488" i="1"/>
  <c r="B487" i="1"/>
  <c r="B485" i="1"/>
  <c r="B484" i="1"/>
  <c r="B483" i="1"/>
  <c r="B482" i="1"/>
  <c r="B481" i="1"/>
  <c r="B479" i="1"/>
  <c r="B477" i="1"/>
  <c r="B476" i="1"/>
  <c r="B475" i="1"/>
  <c r="B474" i="1"/>
  <c r="B473" i="1"/>
  <c r="B472" i="1"/>
  <c r="B471" i="1"/>
  <c r="B470" i="1"/>
  <c r="B468" i="1"/>
  <c r="B467" i="1"/>
  <c r="B466" i="1"/>
  <c r="B464" i="1"/>
  <c r="B463" i="1"/>
  <c r="B462" i="1"/>
  <c r="B461" i="1"/>
  <c r="B460" i="1"/>
  <c r="B459" i="1"/>
  <c r="B458" i="1"/>
  <c r="B456" i="1"/>
  <c r="B454" i="1"/>
  <c r="B453" i="1"/>
  <c r="B451" i="1"/>
  <c r="B450" i="1"/>
  <c r="B448" i="1"/>
  <c r="B446" i="1"/>
  <c r="B444" i="1"/>
  <c r="B443" i="1"/>
  <c r="B439" i="1"/>
  <c r="B438" i="1"/>
  <c r="B437" i="1"/>
  <c r="B436" i="1"/>
  <c r="B435" i="1"/>
  <c r="B434" i="1"/>
  <c r="B433" i="1"/>
  <c r="B432" i="1"/>
  <c r="B431" i="1"/>
  <c r="B430" i="1"/>
  <c r="B429" i="1"/>
  <c r="B420" i="1"/>
  <c r="B419" i="1"/>
  <c r="B418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2" i="1"/>
  <c r="B401" i="1"/>
  <c r="B400" i="1"/>
  <c r="B399" i="1"/>
  <c r="B398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P366" i="3"/>
  <c r="Q366" i="3"/>
  <c r="R366" i="3"/>
  <c r="O366" i="3"/>
  <c r="B511" i="3"/>
  <c r="B509" i="3"/>
  <c r="B507" i="3"/>
  <c r="B505" i="3"/>
  <c r="B503" i="3"/>
  <c r="B501" i="3"/>
  <c r="B500" i="3"/>
  <c r="B499" i="3"/>
  <c r="B498" i="3"/>
  <c r="B497" i="3"/>
  <c r="B496" i="3"/>
  <c r="B494" i="3"/>
  <c r="B493" i="3"/>
  <c r="B492" i="3"/>
  <c r="B491" i="3"/>
  <c r="B490" i="3"/>
  <c r="B488" i="3"/>
  <c r="B486" i="3"/>
  <c r="B485" i="3"/>
  <c r="B484" i="3"/>
  <c r="B482" i="3"/>
  <c r="B481" i="3"/>
  <c r="B480" i="3"/>
  <c r="B479" i="3"/>
  <c r="B478" i="3"/>
  <c r="B476" i="3"/>
  <c r="B474" i="3"/>
  <c r="B473" i="3"/>
  <c r="B472" i="3"/>
  <c r="B471" i="3"/>
  <c r="B470" i="3"/>
  <c r="B469" i="3"/>
  <c r="B468" i="3"/>
  <c r="B467" i="3"/>
  <c r="B465" i="3"/>
  <c r="B464" i="3"/>
  <c r="B463" i="3"/>
  <c r="B457" i="3"/>
  <c r="B456" i="3"/>
  <c r="B455" i="3"/>
  <c r="B453" i="3"/>
  <c r="B451" i="3"/>
  <c r="B450" i="3"/>
  <c r="B448" i="3"/>
  <c r="B447" i="3"/>
  <c r="B445" i="3"/>
  <c r="B443" i="3"/>
  <c r="B441" i="3"/>
  <c r="B440" i="3"/>
  <c r="B436" i="3"/>
  <c r="B435" i="3"/>
  <c r="B434" i="3"/>
  <c r="B433" i="3"/>
  <c r="B432" i="3"/>
  <c r="B431" i="3"/>
  <c r="B430" i="3"/>
  <c r="B429" i="3"/>
  <c r="B428" i="3"/>
  <c r="B427" i="3"/>
  <c r="B426" i="3"/>
  <c r="B417" i="3"/>
  <c r="B416" i="3"/>
  <c r="B415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399" i="3"/>
  <c r="B398" i="3"/>
  <c r="B397" i="3"/>
  <c r="B396" i="3"/>
  <c r="B395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T291" i="3" l="1"/>
  <c r="S291" i="3"/>
  <c r="V291" i="3" s="1"/>
  <c r="T290" i="3"/>
  <c r="S290" i="3"/>
  <c r="V290" i="3" s="1"/>
  <c r="U277" i="3"/>
  <c r="P277" i="3"/>
  <c r="Q277" i="3"/>
  <c r="R277" i="3"/>
  <c r="O277" i="3"/>
  <c r="J277" i="3"/>
  <c r="K277" i="3"/>
  <c r="I277" i="3"/>
  <c r="T279" i="3"/>
  <c r="S279" i="3"/>
  <c r="V279" i="3" s="1"/>
  <c r="T273" i="3"/>
  <c r="T260" i="3"/>
  <c r="U260" i="3" s="1"/>
  <c r="T261" i="3"/>
  <c r="U261" i="3" s="1"/>
  <c r="S260" i="3"/>
  <c r="V260" i="3" s="1"/>
  <c r="S261" i="3"/>
  <c r="V261" i="3" s="1"/>
  <c r="U244" i="3" l="1"/>
  <c r="J366" i="3"/>
  <c r="K366" i="3"/>
  <c r="I366" i="3"/>
  <c r="T391" i="3"/>
  <c r="U391" i="3" s="1"/>
  <c r="T392" i="3"/>
  <c r="U392" i="3" s="1"/>
  <c r="T393" i="3"/>
  <c r="U393" i="3" s="1"/>
  <c r="S391" i="3"/>
  <c r="V391" i="3" s="1"/>
  <c r="S392" i="3"/>
  <c r="V392" i="3" s="1"/>
  <c r="S393" i="3"/>
  <c r="V393" i="3" s="1"/>
  <c r="U366" i="3" l="1"/>
  <c r="S216" i="3"/>
  <c r="V216" i="3" s="1"/>
  <c r="S217" i="3"/>
  <c r="V217" i="3" s="1"/>
  <c r="S218" i="3"/>
  <c r="V218" i="3" s="1"/>
  <c r="S219" i="3"/>
  <c r="V219" i="3" s="1"/>
  <c r="S220" i="3"/>
  <c r="V220" i="3" s="1"/>
  <c r="S221" i="3"/>
  <c r="V221" i="3" s="1"/>
  <c r="S222" i="3"/>
  <c r="V222" i="3" s="1"/>
  <c r="S223" i="3"/>
  <c r="V223" i="3" s="1"/>
  <c r="S224" i="3"/>
  <c r="V224" i="3" s="1"/>
  <c r="S225" i="3"/>
  <c r="V225" i="3" s="1"/>
  <c r="S226" i="3"/>
  <c r="V226" i="3" s="1"/>
  <c r="S227" i="3"/>
  <c r="V227" i="3" s="1"/>
  <c r="S228" i="3"/>
  <c r="V228" i="3" s="1"/>
  <c r="S229" i="3"/>
  <c r="V229" i="3" s="1"/>
  <c r="S230" i="3"/>
  <c r="V230" i="3" s="1"/>
  <c r="T223" i="3"/>
  <c r="T224" i="3"/>
  <c r="T225" i="3"/>
  <c r="T226" i="3"/>
  <c r="T227" i="3"/>
  <c r="T228" i="3"/>
  <c r="T229" i="3"/>
  <c r="U229" i="3" s="1"/>
  <c r="U197" i="3" s="1"/>
  <c r="T230" i="3"/>
  <c r="U230" i="3" s="1"/>
  <c r="U280" i="3"/>
  <c r="P280" i="3"/>
  <c r="Q280" i="3"/>
  <c r="R280" i="3"/>
  <c r="O280" i="3"/>
  <c r="J280" i="3"/>
  <c r="K280" i="3"/>
  <c r="I280" i="3"/>
  <c r="S231" i="3"/>
  <c r="V231" i="3" s="1"/>
  <c r="S232" i="3"/>
  <c r="V232" i="3" s="1"/>
  <c r="T232" i="3"/>
  <c r="T231" i="3"/>
  <c r="L369" i="1"/>
  <c r="Z234" i="1"/>
  <c r="Z235" i="1"/>
  <c r="E235" i="1" s="1"/>
  <c r="O196" i="3" l="1"/>
  <c r="E234" i="1"/>
  <c r="F369" i="1" l="1"/>
  <c r="G369" i="1"/>
  <c r="H369" i="1"/>
  <c r="I369" i="1"/>
  <c r="J369" i="1"/>
  <c r="K369" i="1"/>
  <c r="M369" i="1"/>
  <c r="N369" i="1"/>
  <c r="O369" i="1"/>
  <c r="P369" i="1"/>
  <c r="Q369" i="1"/>
  <c r="R369" i="1"/>
  <c r="S369" i="1"/>
  <c r="T369" i="1"/>
  <c r="U369" i="1"/>
  <c r="V369" i="1"/>
  <c r="W369" i="1"/>
  <c r="X369" i="1"/>
  <c r="Y369" i="1"/>
  <c r="AA369" i="1"/>
  <c r="Z396" i="1"/>
  <c r="E396" i="1" s="1"/>
  <c r="Z395" i="1"/>
  <c r="E395" i="1" s="1"/>
  <c r="Z394" i="1"/>
  <c r="E394" i="1" s="1"/>
  <c r="Z369" i="1" l="1"/>
  <c r="E221" i="1" l="1"/>
  <c r="E222" i="1"/>
  <c r="E223" i="1"/>
  <c r="E224" i="1"/>
  <c r="E225" i="1"/>
  <c r="Z233" i="1"/>
  <c r="E233" i="1" s="1"/>
  <c r="Z232" i="1"/>
  <c r="E232" i="1" s="1"/>
  <c r="Z231" i="1"/>
  <c r="Z230" i="1"/>
  <c r="E230" i="1" s="1"/>
  <c r="Z229" i="1"/>
  <c r="E229" i="1" s="1"/>
  <c r="Z228" i="1"/>
  <c r="E228" i="1" s="1"/>
  <c r="Z227" i="1"/>
  <c r="E227" i="1" s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AA280" i="1"/>
  <c r="E282" i="1"/>
  <c r="Z276" i="1"/>
  <c r="Z264" i="1"/>
  <c r="E264" i="1" s="1"/>
  <c r="Z263" i="1"/>
  <c r="E276" i="1" l="1"/>
  <c r="E263" i="1"/>
  <c r="T148" i="3" l="1"/>
  <c r="S148" i="3"/>
  <c r="V148" i="3" s="1"/>
  <c r="U143" i="3"/>
  <c r="P143" i="3"/>
  <c r="Q143" i="3"/>
  <c r="R143" i="3"/>
  <c r="O143" i="3"/>
  <c r="J143" i="3"/>
  <c r="K143" i="3"/>
  <c r="I143" i="3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AA146" i="1"/>
  <c r="Z151" i="1"/>
  <c r="E151" i="1" s="1"/>
  <c r="U466" i="3"/>
  <c r="T471" i="3"/>
  <c r="T472" i="3"/>
  <c r="T473" i="3"/>
  <c r="T474" i="3"/>
  <c r="S471" i="3"/>
  <c r="V471" i="3" s="1"/>
  <c r="S472" i="3"/>
  <c r="V472" i="3" s="1"/>
  <c r="S473" i="3"/>
  <c r="V473" i="3" s="1"/>
  <c r="S474" i="3"/>
  <c r="V474" i="3" s="1"/>
  <c r="P466" i="3"/>
  <c r="Q466" i="3"/>
  <c r="R466" i="3"/>
  <c r="O466" i="3"/>
  <c r="J466" i="3"/>
  <c r="K466" i="3"/>
  <c r="I466" i="3"/>
  <c r="F469" i="1"/>
  <c r="G469" i="1"/>
  <c r="H469" i="1"/>
  <c r="I469" i="1"/>
  <c r="J469" i="1"/>
  <c r="K469" i="1"/>
  <c r="L469" i="1"/>
  <c r="M469" i="1"/>
  <c r="N469" i="1"/>
  <c r="O469" i="1"/>
  <c r="P469" i="1"/>
  <c r="Q469" i="1"/>
  <c r="R469" i="1"/>
  <c r="S469" i="1"/>
  <c r="T469" i="1"/>
  <c r="U469" i="1"/>
  <c r="V469" i="1"/>
  <c r="W469" i="1"/>
  <c r="X469" i="1"/>
  <c r="Y469" i="1"/>
  <c r="AA469" i="1"/>
  <c r="Z477" i="1"/>
  <c r="E477" i="1" s="1"/>
  <c r="Z476" i="1"/>
  <c r="E476" i="1" s="1"/>
  <c r="Z475" i="1"/>
  <c r="E475" i="1" s="1"/>
  <c r="Z474" i="1"/>
  <c r="E474" i="1" s="1"/>
  <c r="U495" i="3" l="1"/>
  <c r="P495" i="3"/>
  <c r="Q495" i="3"/>
  <c r="R495" i="3"/>
  <c r="O495" i="3"/>
  <c r="J495" i="3"/>
  <c r="K495" i="3"/>
  <c r="I495" i="3"/>
  <c r="F498" i="1"/>
  <c r="G498" i="1"/>
  <c r="H498" i="1"/>
  <c r="I498" i="1"/>
  <c r="J498" i="1"/>
  <c r="K498" i="1"/>
  <c r="L498" i="1"/>
  <c r="M498" i="1"/>
  <c r="N498" i="1"/>
  <c r="O498" i="1"/>
  <c r="P498" i="1"/>
  <c r="Q498" i="1"/>
  <c r="R498" i="1"/>
  <c r="S498" i="1"/>
  <c r="T498" i="1"/>
  <c r="U498" i="1"/>
  <c r="V498" i="1"/>
  <c r="W498" i="1"/>
  <c r="X498" i="1"/>
  <c r="Y498" i="1"/>
  <c r="AA498" i="1"/>
  <c r="U181" i="3"/>
  <c r="P181" i="3"/>
  <c r="Q181" i="3"/>
  <c r="R181" i="3"/>
  <c r="O181" i="3"/>
  <c r="J181" i="3"/>
  <c r="K181" i="3"/>
  <c r="I181" i="3"/>
  <c r="T186" i="3"/>
  <c r="S186" i="3"/>
  <c r="V186" i="3" s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T184" i="1"/>
  <c r="U184" i="1"/>
  <c r="V184" i="1"/>
  <c r="W184" i="1"/>
  <c r="X184" i="1"/>
  <c r="Y184" i="1"/>
  <c r="AA184" i="1"/>
  <c r="Z189" i="1"/>
  <c r="E189" i="1" s="1"/>
  <c r="O14" i="3" l="1"/>
  <c r="U114" i="3"/>
  <c r="Q114" i="3"/>
  <c r="R114" i="3"/>
  <c r="P114" i="3"/>
  <c r="J114" i="3"/>
  <c r="K114" i="3"/>
  <c r="I114" i="3"/>
  <c r="AE116" i="3"/>
  <c r="T116" i="3"/>
  <c r="BU116" i="3" s="1"/>
  <c r="S116" i="3"/>
  <c r="V116" i="3" s="1"/>
  <c r="AB116" i="3" l="1"/>
  <c r="S119" i="1"/>
  <c r="F117" i="1" l="1"/>
  <c r="G117" i="1"/>
  <c r="H117" i="1"/>
  <c r="I117" i="1"/>
  <c r="J117" i="1"/>
  <c r="K117" i="1"/>
  <c r="L117" i="1"/>
  <c r="M117" i="1"/>
  <c r="N117" i="1"/>
  <c r="O117" i="1"/>
  <c r="P117" i="1"/>
  <c r="Q117" i="1"/>
  <c r="R117" i="1"/>
  <c r="T117" i="1"/>
  <c r="U117" i="1"/>
  <c r="V117" i="1"/>
  <c r="W117" i="1"/>
  <c r="X117" i="1"/>
  <c r="Y117" i="1"/>
  <c r="AA117" i="1"/>
  <c r="Z119" i="1"/>
  <c r="E119" i="1" s="1"/>
  <c r="AE157" i="3"/>
  <c r="T157" i="3"/>
  <c r="BU157" i="3" s="1"/>
  <c r="S157" i="3"/>
  <c r="V157" i="3" s="1"/>
  <c r="T74" i="3"/>
  <c r="S74" i="3"/>
  <c r="V74" i="3" s="1"/>
  <c r="Q189" i="3"/>
  <c r="P189" i="3"/>
  <c r="J189" i="3"/>
  <c r="K189" i="3"/>
  <c r="I189" i="3"/>
  <c r="BW192" i="3"/>
  <c r="AH192" i="3"/>
  <c r="AE192" i="3"/>
  <c r="T192" i="3"/>
  <c r="BU192" i="3" s="1"/>
  <c r="S192" i="3"/>
  <c r="V192" i="3" s="1"/>
  <c r="BW191" i="3"/>
  <c r="AH191" i="3"/>
  <c r="AE191" i="3"/>
  <c r="T191" i="3"/>
  <c r="BU191" i="3" s="1"/>
  <c r="R191" i="3"/>
  <c r="U61" i="3"/>
  <c r="AB192" i="3" l="1"/>
  <c r="R189" i="3"/>
  <c r="AB157" i="3"/>
  <c r="S191" i="3"/>
  <c r="AB191" i="3" s="1"/>
  <c r="V191" i="3" l="1"/>
  <c r="O166" i="1"/>
  <c r="O164" i="1" s="1"/>
  <c r="J64" i="1" l="1"/>
  <c r="Z84" i="1" l="1"/>
  <c r="E84" i="1" s="1"/>
  <c r="Z82" i="1"/>
  <c r="E82" i="1" s="1"/>
  <c r="F192" i="1" l="1"/>
  <c r="G192" i="1"/>
  <c r="H192" i="1"/>
  <c r="I192" i="1"/>
  <c r="J192" i="1"/>
  <c r="K192" i="1"/>
  <c r="L192" i="1"/>
  <c r="M192" i="1"/>
  <c r="N192" i="1"/>
  <c r="P192" i="1"/>
  <c r="Q192" i="1"/>
  <c r="R192" i="1"/>
  <c r="S192" i="1"/>
  <c r="T192" i="1"/>
  <c r="U192" i="1"/>
  <c r="V192" i="1"/>
  <c r="W192" i="1"/>
  <c r="X192" i="1"/>
  <c r="Y192" i="1"/>
  <c r="AA192" i="1"/>
  <c r="Z160" i="1"/>
  <c r="E160" i="1" s="1"/>
  <c r="Z77" i="1"/>
  <c r="E77" i="1" s="1"/>
  <c r="Z195" i="1"/>
  <c r="E195" i="1" s="1"/>
  <c r="O194" i="1"/>
  <c r="Z194" i="1" s="1"/>
  <c r="O192" i="1" l="1"/>
  <c r="E194" i="1"/>
  <c r="Z166" i="1" l="1"/>
  <c r="K149" i="3"/>
  <c r="J149" i="3" l="1"/>
  <c r="I149" i="3"/>
  <c r="BW152" i="3"/>
  <c r="AH152" i="3"/>
  <c r="AE152" i="3"/>
  <c r="T152" i="3"/>
  <c r="BU152" i="3" s="1"/>
  <c r="S152" i="3"/>
  <c r="V152" i="3" s="1"/>
  <c r="G152" i="1"/>
  <c r="H152" i="1"/>
  <c r="I152" i="1"/>
  <c r="J152" i="1"/>
  <c r="K152" i="1"/>
  <c r="L152" i="1"/>
  <c r="M152" i="1"/>
  <c r="N152" i="1"/>
  <c r="P152" i="1"/>
  <c r="Q152" i="1"/>
  <c r="R152" i="1"/>
  <c r="S152" i="1"/>
  <c r="T152" i="1"/>
  <c r="U152" i="1"/>
  <c r="V152" i="1"/>
  <c r="W152" i="1"/>
  <c r="X152" i="1"/>
  <c r="Y152" i="1"/>
  <c r="AA152" i="1"/>
  <c r="F152" i="1"/>
  <c r="O155" i="1"/>
  <c r="Z155" i="1" s="1"/>
  <c r="AB152" i="3" l="1"/>
  <c r="O152" i="1"/>
  <c r="E155" i="1"/>
  <c r="S12" i="7" l="1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32" i="7"/>
  <c r="C33" i="7"/>
  <c r="C36" i="7"/>
  <c r="C35" i="7" s="1"/>
  <c r="C39" i="7"/>
  <c r="C38" i="7" s="1"/>
  <c r="C14" i="7"/>
  <c r="C31" i="7" l="1"/>
  <c r="C13" i="7"/>
  <c r="M12" i="7"/>
  <c r="L12" i="7"/>
  <c r="K12" i="7"/>
  <c r="J12" i="7"/>
  <c r="I12" i="7"/>
  <c r="H12" i="7"/>
  <c r="O12" i="7"/>
  <c r="N12" i="7"/>
  <c r="R12" i="7"/>
  <c r="Q12" i="7"/>
  <c r="P12" i="7"/>
  <c r="G12" i="7"/>
  <c r="F12" i="7"/>
  <c r="E12" i="7"/>
  <c r="D12" i="7"/>
  <c r="T115" i="3"/>
  <c r="S115" i="3"/>
  <c r="V115" i="3" s="1"/>
  <c r="T114" i="3"/>
  <c r="T113" i="3"/>
  <c r="S113" i="3"/>
  <c r="V113" i="3" s="1"/>
  <c r="U112" i="3"/>
  <c r="R112" i="3"/>
  <c r="Q112" i="3"/>
  <c r="P112" i="3"/>
  <c r="K112" i="3"/>
  <c r="J112" i="3"/>
  <c r="I112" i="3"/>
  <c r="T112" i="3" s="1"/>
  <c r="T111" i="3"/>
  <c r="S111" i="3"/>
  <c r="V111" i="3" s="1"/>
  <c r="U110" i="3"/>
  <c r="R110" i="3"/>
  <c r="Q110" i="3"/>
  <c r="P110" i="3"/>
  <c r="K110" i="3"/>
  <c r="J110" i="3"/>
  <c r="I110" i="3"/>
  <c r="T110" i="3" s="1"/>
  <c r="T109" i="3"/>
  <c r="S109" i="3"/>
  <c r="V109" i="3" s="1"/>
  <c r="U108" i="3"/>
  <c r="R108" i="3"/>
  <c r="Q108" i="3"/>
  <c r="P108" i="3"/>
  <c r="K108" i="3"/>
  <c r="J108" i="3"/>
  <c r="I108" i="3"/>
  <c r="T108" i="3" s="1"/>
  <c r="T106" i="3"/>
  <c r="S106" i="3"/>
  <c r="V106" i="3" s="1"/>
  <c r="T105" i="3"/>
  <c r="S105" i="3"/>
  <c r="V105" i="3" s="1"/>
  <c r="T104" i="3"/>
  <c r="S104" i="3"/>
  <c r="V104" i="3" s="1"/>
  <c r="T103" i="3"/>
  <c r="S118" i="1"/>
  <c r="S117" i="1" s="1"/>
  <c r="Z116" i="1"/>
  <c r="E116" i="1" s="1"/>
  <c r="E115" i="1" s="1"/>
  <c r="AA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Z114" i="1"/>
  <c r="E114" i="1" s="1"/>
  <c r="E113" i="1" s="1"/>
  <c r="AA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Z112" i="1"/>
  <c r="Z111" i="1" s="1"/>
  <c r="AA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Z109" i="1"/>
  <c r="E109" i="1" s="1"/>
  <c r="Z108" i="1"/>
  <c r="Z107" i="1"/>
  <c r="S114" i="3" l="1"/>
  <c r="V114" i="3" s="1"/>
  <c r="S112" i="3"/>
  <c r="V112" i="3" s="1"/>
  <c r="S110" i="3"/>
  <c r="V110" i="3" s="1"/>
  <c r="S103" i="3"/>
  <c r="V103" i="3" s="1"/>
  <c r="S108" i="3"/>
  <c r="V108" i="3" s="1"/>
  <c r="E107" i="1"/>
  <c r="Z106" i="1"/>
  <c r="C12" i="7"/>
  <c r="E112" i="1"/>
  <c r="Z115" i="1"/>
  <c r="Z118" i="1"/>
  <c r="Z117" i="1" s="1"/>
  <c r="Z113" i="1"/>
  <c r="E108" i="1"/>
  <c r="E106" i="1" l="1"/>
  <c r="E111" i="1"/>
  <c r="E118" i="1"/>
  <c r="E117" i="1" s="1"/>
  <c r="O41" i="1" l="1"/>
  <c r="O40" i="1"/>
  <c r="O35" i="1"/>
  <c r="O24" i="1"/>
  <c r="O22" i="1"/>
  <c r="O21" i="1"/>
  <c r="I20" i="1"/>
  <c r="I18" i="1" s="1"/>
  <c r="S423" i="3" l="1"/>
  <c r="V423" i="3" s="1"/>
  <c r="T423" i="3"/>
  <c r="U423" i="3" s="1"/>
  <c r="U414" i="3" s="1"/>
  <c r="O365" i="3"/>
  <c r="O425" i="1"/>
  <c r="O417" i="1" s="1"/>
  <c r="Z426" i="1"/>
  <c r="E426" i="1" s="1"/>
  <c r="C22" i="5" l="1"/>
  <c r="O29" i="1"/>
  <c r="O18" i="1" s="1"/>
  <c r="T163" i="3" l="1"/>
  <c r="S163" i="3"/>
  <c r="V163" i="3" s="1"/>
  <c r="E166" i="1" l="1"/>
  <c r="Z90" i="1" l="1"/>
  <c r="Z226" i="1"/>
  <c r="Z200" i="1" s="1"/>
  <c r="Z41" i="1"/>
  <c r="Z40" i="1"/>
  <c r="Z39" i="1"/>
  <c r="Z38" i="1"/>
  <c r="Z37" i="1"/>
  <c r="Z36" i="1"/>
  <c r="Z35" i="1"/>
  <c r="Z33" i="1"/>
  <c r="Z32" i="1"/>
  <c r="Z31" i="1"/>
  <c r="Z29" i="1"/>
  <c r="Z26" i="1"/>
  <c r="Z25" i="1"/>
  <c r="E25" i="1" s="1"/>
  <c r="Z24" i="1"/>
  <c r="Z20" i="1"/>
  <c r="Z34" i="1"/>
  <c r="Z27" i="1"/>
  <c r="Z281" i="1"/>
  <c r="Z280" i="1" s="1"/>
  <c r="Z30" i="1"/>
  <c r="Z23" i="1"/>
  <c r="Z22" i="1"/>
  <c r="Z21" i="1"/>
  <c r="E226" i="1" l="1"/>
  <c r="I76" i="3"/>
  <c r="T181" i="3"/>
  <c r="BW182" i="3"/>
  <c r="AH182" i="3"/>
  <c r="AE182" i="3"/>
  <c r="T182" i="3"/>
  <c r="BU182" i="3" s="1"/>
  <c r="S182" i="3"/>
  <c r="V182" i="3" s="1"/>
  <c r="BW159" i="3"/>
  <c r="AH159" i="3"/>
  <c r="AE159" i="3"/>
  <c r="T159" i="3"/>
  <c r="BU159" i="3" s="1"/>
  <c r="S159" i="3"/>
  <c r="V159" i="3" s="1"/>
  <c r="BW167" i="3"/>
  <c r="AH167" i="3"/>
  <c r="AE167" i="3"/>
  <c r="T167" i="3"/>
  <c r="BU167" i="3" s="1"/>
  <c r="S167" i="3"/>
  <c r="V167" i="3" s="1"/>
  <c r="T147" i="3"/>
  <c r="S147" i="3"/>
  <c r="V147" i="3" s="1"/>
  <c r="AE146" i="3"/>
  <c r="T146" i="3"/>
  <c r="BU146" i="3" s="1"/>
  <c r="S146" i="3"/>
  <c r="V146" i="3" s="1"/>
  <c r="T122" i="3"/>
  <c r="S122" i="3"/>
  <c r="V122" i="3" s="1"/>
  <c r="BW109" i="3"/>
  <c r="AH109" i="3"/>
  <c r="AE109" i="3"/>
  <c r="BU109" i="3"/>
  <c r="AB109" i="3"/>
  <c r="BW108" i="3"/>
  <c r="AH108" i="3"/>
  <c r="AE108" i="3"/>
  <c r="BU108" i="3"/>
  <c r="AB108" i="3"/>
  <c r="BU98" i="3"/>
  <c r="AB98" i="3"/>
  <c r="T73" i="3"/>
  <c r="S73" i="3"/>
  <c r="V73" i="3" s="1"/>
  <c r="BW59" i="3"/>
  <c r="AH59" i="3"/>
  <c r="AE59" i="3"/>
  <c r="T59" i="3"/>
  <c r="BU59" i="3" s="1"/>
  <c r="S59" i="3"/>
  <c r="V59" i="3" s="1"/>
  <c r="AB146" i="3" l="1"/>
  <c r="AB59" i="3"/>
  <c r="AB167" i="3"/>
  <c r="AB159" i="3"/>
  <c r="AB182" i="3"/>
  <c r="T39" i="3"/>
  <c r="S39" i="3"/>
  <c r="V39" i="3" s="1"/>
  <c r="Z150" i="1"/>
  <c r="E150" i="1" s="1"/>
  <c r="C8" i="5" l="1"/>
  <c r="O136" i="1"/>
  <c r="S62" i="1"/>
  <c r="S56" i="1" s="1"/>
  <c r="Z125" i="1" l="1"/>
  <c r="E125" i="1" s="1"/>
  <c r="F172" i="1" l="1"/>
  <c r="F190" i="1"/>
  <c r="F196" i="1"/>
  <c r="F304" i="1"/>
  <c r="E42" i="1" l="1"/>
  <c r="Z149" i="1" l="1"/>
  <c r="E149" i="1" s="1"/>
  <c r="Z185" i="1" l="1"/>
  <c r="S184" i="1"/>
  <c r="S76" i="1"/>
  <c r="S64" i="1" s="1"/>
  <c r="Z62" i="1"/>
  <c r="E62" i="1" l="1"/>
  <c r="Z56" i="1"/>
  <c r="E185" i="1"/>
  <c r="Z76" i="1"/>
  <c r="E76" i="1" s="1"/>
  <c r="Z170" i="1" l="1"/>
  <c r="E170" i="1" s="1"/>
  <c r="Z162" i="1"/>
  <c r="E162" i="1" s="1"/>
  <c r="T136" i="3" l="1"/>
  <c r="S136" i="3"/>
  <c r="Z139" i="1"/>
  <c r="Z132" i="1"/>
  <c r="Z131" i="1" s="1"/>
  <c r="V136" i="3" l="1"/>
  <c r="U136" i="3" s="1"/>
  <c r="E139" i="1"/>
  <c r="E132" i="1" l="1"/>
  <c r="E131" i="1" s="1"/>
  <c r="T178" i="3" l="1"/>
  <c r="T179" i="3"/>
  <c r="S178" i="3"/>
  <c r="V178" i="3" s="1"/>
  <c r="S179" i="3"/>
  <c r="V179" i="3" s="1"/>
  <c r="J181" i="1"/>
  <c r="Z182" i="1"/>
  <c r="E182" i="1" s="1"/>
  <c r="Z181" i="1" l="1"/>
  <c r="J174" i="1"/>
  <c r="T123" i="3"/>
  <c r="S123" i="3"/>
  <c r="V123" i="3" s="1"/>
  <c r="T120" i="3"/>
  <c r="S120" i="3"/>
  <c r="V120" i="3" s="1"/>
  <c r="S118" i="3"/>
  <c r="V118" i="3" s="1"/>
  <c r="T118" i="3"/>
  <c r="T56" i="3" l="1"/>
  <c r="T57" i="3"/>
  <c r="T58" i="3"/>
  <c r="S58" i="3"/>
  <c r="V58" i="3" s="1"/>
  <c r="S57" i="3"/>
  <c r="V57" i="3" s="1"/>
  <c r="Z126" i="1" l="1"/>
  <c r="E126" i="1" s="1"/>
  <c r="Z123" i="1"/>
  <c r="E123" i="1" s="1"/>
  <c r="Z121" i="1"/>
  <c r="E121" i="1" l="1"/>
  <c r="E61" i="1"/>
  <c r="E60" i="1"/>
  <c r="U506" i="3"/>
  <c r="U189" i="3" l="1"/>
  <c r="U169" i="3"/>
  <c r="U187" i="3"/>
  <c r="U318" i="3"/>
  <c r="U475" i="3"/>
  <c r="U508" i="3"/>
  <c r="U504" i="3"/>
  <c r="U452" i="3"/>
  <c r="U502" i="3"/>
  <c r="U344" i="3"/>
  <c r="U487" i="3"/>
  <c r="U510" i="3"/>
  <c r="U334" i="3" l="1"/>
  <c r="U446" i="3"/>
  <c r="U394" i="3"/>
  <c r="U76" i="3"/>
  <c r="U331" i="3"/>
  <c r="U193" i="3"/>
  <c r="U149" i="3"/>
  <c r="U489" i="3"/>
  <c r="U357" i="3"/>
  <c r="Z311" i="1" l="1"/>
  <c r="Z309" i="1"/>
  <c r="Z307" i="1"/>
  <c r="Z305" i="1"/>
  <c r="Z302" i="1"/>
  <c r="Z301" i="1"/>
  <c r="Z300" i="1"/>
  <c r="Z448" i="1"/>
  <c r="Z446" i="1"/>
  <c r="Z444" i="1"/>
  <c r="Z443" i="1"/>
  <c r="Z303" i="1"/>
  <c r="Z442" i="1" l="1"/>
  <c r="Z299" i="1"/>
  <c r="Z294" i="1"/>
  <c r="Z293" i="1"/>
  <c r="Z298" i="1"/>
  <c r="Z297" i="1"/>
  <c r="Z296" i="1"/>
  <c r="Z295" i="1"/>
  <c r="Z292" i="1"/>
  <c r="Z291" i="1"/>
  <c r="Z290" i="1"/>
  <c r="Z289" i="1"/>
  <c r="Z288" i="1"/>
  <c r="Z287" i="1"/>
  <c r="Z286" i="1"/>
  <c r="Z285" i="1"/>
  <c r="Z284" i="1"/>
  <c r="Z283" i="1" l="1"/>
  <c r="F11" i="6"/>
  <c r="F10" i="6" s="1"/>
  <c r="E11" i="6"/>
  <c r="E10" i="6" s="1"/>
  <c r="D11" i="6"/>
  <c r="D10" i="6" s="1"/>
  <c r="B367" i="3" l="1"/>
  <c r="B198" i="3"/>
  <c r="B16" i="3"/>
  <c r="B370" i="1" l="1"/>
  <c r="B201" i="1"/>
  <c r="B19" i="1"/>
  <c r="U444" i="3"/>
  <c r="U442" i="3"/>
  <c r="U307" i="3"/>
  <c r="U305" i="3"/>
  <c r="U303" i="3"/>
  <c r="U301" i="3"/>
  <c r="P444" i="3" l="1"/>
  <c r="Q444" i="3"/>
  <c r="R444" i="3"/>
  <c r="P442" i="3"/>
  <c r="Q442" i="3"/>
  <c r="R442" i="3"/>
  <c r="P307" i="3"/>
  <c r="Q307" i="3"/>
  <c r="R307" i="3"/>
  <c r="P305" i="3"/>
  <c r="Q305" i="3"/>
  <c r="R305" i="3"/>
  <c r="P303" i="3"/>
  <c r="Q303" i="3"/>
  <c r="R303" i="3"/>
  <c r="P301" i="3"/>
  <c r="Q301" i="3"/>
  <c r="R301" i="3"/>
  <c r="J444" i="3"/>
  <c r="K444" i="3"/>
  <c r="I444" i="3"/>
  <c r="J442" i="3"/>
  <c r="K442" i="3"/>
  <c r="I442" i="3"/>
  <c r="J307" i="3"/>
  <c r="K307" i="3"/>
  <c r="I307" i="3"/>
  <c r="J305" i="3"/>
  <c r="K305" i="3"/>
  <c r="I305" i="3"/>
  <c r="J303" i="3"/>
  <c r="K303" i="3"/>
  <c r="I303" i="3"/>
  <c r="J301" i="3"/>
  <c r="K301" i="3"/>
  <c r="I301" i="3"/>
  <c r="T440" i="3" l="1"/>
  <c r="T441" i="3"/>
  <c r="T442" i="3"/>
  <c r="T443" i="3"/>
  <c r="T444" i="3"/>
  <c r="T445" i="3"/>
  <c r="T296" i="3"/>
  <c r="T297" i="3"/>
  <c r="T298" i="3"/>
  <c r="T299" i="3"/>
  <c r="T301" i="3"/>
  <c r="T302" i="3"/>
  <c r="T303" i="3"/>
  <c r="T304" i="3"/>
  <c r="T305" i="3"/>
  <c r="T306" i="3"/>
  <c r="T307" i="3"/>
  <c r="T308" i="3"/>
  <c r="T439" i="3"/>
  <c r="T300" i="3"/>
  <c r="S297" i="3"/>
  <c r="V297" i="3" s="1"/>
  <c r="S298" i="3"/>
  <c r="V298" i="3" s="1"/>
  <c r="S299" i="3"/>
  <c r="V299" i="3" s="1"/>
  <c r="S302" i="3"/>
  <c r="V302" i="3" s="1"/>
  <c r="S304" i="3"/>
  <c r="V304" i="3" s="1"/>
  <c r="S306" i="3"/>
  <c r="V306" i="3" s="1"/>
  <c r="S308" i="3"/>
  <c r="V308" i="3" s="1"/>
  <c r="S300" i="3"/>
  <c r="V300" i="3" s="1"/>
  <c r="S440" i="3"/>
  <c r="V440" i="3" s="1"/>
  <c r="S441" i="3"/>
  <c r="V441" i="3" s="1"/>
  <c r="S443" i="3"/>
  <c r="V443" i="3" s="1"/>
  <c r="S445" i="3"/>
  <c r="V445" i="3" s="1"/>
  <c r="S301" i="3" l="1"/>
  <c r="V301" i="3" s="1"/>
  <c r="S303" i="3"/>
  <c r="V303" i="3" s="1"/>
  <c r="S305" i="3"/>
  <c r="V305" i="3" s="1"/>
  <c r="S444" i="3"/>
  <c r="V444" i="3" s="1"/>
  <c r="S307" i="3"/>
  <c r="V307" i="3" s="1"/>
  <c r="S442" i="3"/>
  <c r="V442" i="3" s="1"/>
  <c r="S439" i="3"/>
  <c r="V439" i="3" s="1"/>
  <c r="S296" i="3"/>
  <c r="V296" i="3" s="1"/>
  <c r="F447" i="1"/>
  <c r="G447" i="1"/>
  <c r="H447" i="1"/>
  <c r="I447" i="1"/>
  <c r="J447" i="1"/>
  <c r="K447" i="1"/>
  <c r="L447" i="1"/>
  <c r="M447" i="1"/>
  <c r="N447" i="1"/>
  <c r="O447" i="1"/>
  <c r="P447" i="1"/>
  <c r="Q447" i="1"/>
  <c r="R447" i="1"/>
  <c r="S447" i="1"/>
  <c r="T447" i="1"/>
  <c r="U447" i="1"/>
  <c r="V447" i="1"/>
  <c r="W447" i="1"/>
  <c r="X447" i="1"/>
  <c r="Y447" i="1"/>
  <c r="Z447" i="1"/>
  <c r="AA447" i="1"/>
  <c r="F445" i="1"/>
  <c r="G445" i="1"/>
  <c r="H445" i="1"/>
  <c r="I445" i="1"/>
  <c r="J445" i="1"/>
  <c r="K445" i="1"/>
  <c r="L445" i="1"/>
  <c r="M445" i="1"/>
  <c r="N445" i="1"/>
  <c r="O445" i="1"/>
  <c r="P445" i="1"/>
  <c r="Q445" i="1"/>
  <c r="R445" i="1"/>
  <c r="S445" i="1"/>
  <c r="T445" i="1"/>
  <c r="U445" i="1"/>
  <c r="V445" i="1"/>
  <c r="W445" i="1"/>
  <c r="X445" i="1"/>
  <c r="Y445" i="1"/>
  <c r="Z445" i="1"/>
  <c r="AA445" i="1"/>
  <c r="F310" i="1"/>
  <c r="G310" i="1"/>
  <c r="H310" i="1"/>
  <c r="I310" i="1"/>
  <c r="J310" i="1"/>
  <c r="K310" i="1"/>
  <c r="L310" i="1"/>
  <c r="M310" i="1"/>
  <c r="N310" i="1"/>
  <c r="O310" i="1"/>
  <c r="P310" i="1"/>
  <c r="Q310" i="1"/>
  <c r="R310" i="1"/>
  <c r="S310" i="1"/>
  <c r="T310" i="1"/>
  <c r="U310" i="1"/>
  <c r="V310" i="1"/>
  <c r="W310" i="1"/>
  <c r="X310" i="1"/>
  <c r="Y310" i="1"/>
  <c r="Z310" i="1"/>
  <c r="AA310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G304" i="1"/>
  <c r="H304" i="1"/>
  <c r="I304" i="1"/>
  <c r="J304" i="1"/>
  <c r="K304" i="1"/>
  <c r="L304" i="1"/>
  <c r="M304" i="1"/>
  <c r="N304" i="1"/>
  <c r="O304" i="1"/>
  <c r="P304" i="1"/>
  <c r="Q304" i="1"/>
  <c r="R304" i="1"/>
  <c r="S304" i="1"/>
  <c r="T304" i="1"/>
  <c r="U304" i="1"/>
  <c r="V304" i="1"/>
  <c r="W304" i="1"/>
  <c r="X304" i="1"/>
  <c r="Y304" i="1"/>
  <c r="Z304" i="1"/>
  <c r="AA304" i="1"/>
  <c r="E309" i="1"/>
  <c r="E307" i="1"/>
  <c r="E448" i="1"/>
  <c r="E446" i="1"/>
  <c r="E443" i="1"/>
  <c r="E444" i="1"/>
  <c r="E303" i="1"/>
  <c r="E311" i="1"/>
  <c r="E305" i="1"/>
  <c r="E301" i="1"/>
  <c r="E302" i="1"/>
  <c r="E300" i="1"/>
  <c r="E299" i="1" l="1"/>
  <c r="E442" i="1"/>
  <c r="E447" i="1"/>
  <c r="E306" i="1"/>
  <c r="E308" i="1"/>
  <c r="E304" i="1"/>
  <c r="E445" i="1"/>
  <c r="E310" i="1"/>
  <c r="T280" i="3" l="1"/>
  <c r="T281" i="3"/>
  <c r="T282" i="3"/>
  <c r="T283" i="3"/>
  <c r="T284" i="3"/>
  <c r="T285" i="3"/>
  <c r="T286" i="3"/>
  <c r="T287" i="3"/>
  <c r="T288" i="3"/>
  <c r="T289" i="3"/>
  <c r="T292" i="3"/>
  <c r="T293" i="3"/>
  <c r="T294" i="3"/>
  <c r="T295" i="3"/>
  <c r="S281" i="3"/>
  <c r="V281" i="3" s="1"/>
  <c r="S282" i="3"/>
  <c r="V282" i="3" s="1"/>
  <c r="S283" i="3"/>
  <c r="V283" i="3" s="1"/>
  <c r="S284" i="3"/>
  <c r="V284" i="3" s="1"/>
  <c r="S285" i="3"/>
  <c r="V285" i="3" s="1"/>
  <c r="S286" i="3"/>
  <c r="V286" i="3" s="1"/>
  <c r="S287" i="3"/>
  <c r="V287" i="3" s="1"/>
  <c r="S288" i="3"/>
  <c r="V288" i="3" s="1"/>
  <c r="S289" i="3"/>
  <c r="V289" i="3" s="1"/>
  <c r="S292" i="3"/>
  <c r="V292" i="3" s="1"/>
  <c r="S293" i="3"/>
  <c r="V293" i="3" s="1"/>
  <c r="S294" i="3"/>
  <c r="V294" i="3" s="1"/>
  <c r="S295" i="3"/>
  <c r="V295" i="3" s="1"/>
  <c r="S280" i="3" l="1"/>
  <c r="V280" i="3" s="1"/>
  <c r="E294" i="1" l="1"/>
  <c r="E293" i="1"/>
  <c r="E298" i="1"/>
  <c r="E297" i="1"/>
  <c r="E296" i="1"/>
  <c r="E295" i="1"/>
  <c r="E285" i="1"/>
  <c r="E286" i="1"/>
  <c r="E287" i="1"/>
  <c r="E288" i="1"/>
  <c r="E289" i="1"/>
  <c r="E290" i="1"/>
  <c r="E291" i="1"/>
  <c r="E292" i="1"/>
  <c r="E284" i="1"/>
  <c r="E283" i="1" l="1"/>
  <c r="I394" i="3" l="1"/>
  <c r="J394" i="3"/>
  <c r="K394" i="3"/>
  <c r="F79" i="1" l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AA79" i="1"/>
  <c r="F513" i="1"/>
  <c r="G513" i="1"/>
  <c r="H513" i="1"/>
  <c r="I513" i="1"/>
  <c r="J513" i="1"/>
  <c r="K513" i="1"/>
  <c r="L513" i="1"/>
  <c r="M513" i="1"/>
  <c r="N513" i="1"/>
  <c r="O513" i="1"/>
  <c r="P513" i="1"/>
  <c r="Q513" i="1"/>
  <c r="R513" i="1"/>
  <c r="S513" i="1"/>
  <c r="T513" i="1"/>
  <c r="U513" i="1"/>
  <c r="V513" i="1"/>
  <c r="W513" i="1"/>
  <c r="X513" i="1"/>
  <c r="Y513" i="1"/>
  <c r="AA513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AA196" i="1"/>
  <c r="AA511" i="1"/>
  <c r="F511" i="1"/>
  <c r="G511" i="1"/>
  <c r="H511" i="1"/>
  <c r="I511" i="1"/>
  <c r="J511" i="1"/>
  <c r="K511" i="1"/>
  <c r="L511" i="1"/>
  <c r="M511" i="1"/>
  <c r="N511" i="1"/>
  <c r="O511" i="1"/>
  <c r="P511" i="1"/>
  <c r="Q511" i="1"/>
  <c r="R511" i="1"/>
  <c r="S511" i="1"/>
  <c r="T511" i="1"/>
  <c r="U511" i="1"/>
  <c r="V511" i="1"/>
  <c r="W511" i="1"/>
  <c r="X511" i="1"/>
  <c r="Y511" i="1"/>
  <c r="F509" i="1"/>
  <c r="G509" i="1"/>
  <c r="H509" i="1"/>
  <c r="I509" i="1"/>
  <c r="J509" i="1"/>
  <c r="K509" i="1"/>
  <c r="L509" i="1"/>
  <c r="M509" i="1"/>
  <c r="N509" i="1"/>
  <c r="O509" i="1"/>
  <c r="P509" i="1"/>
  <c r="Q509" i="1"/>
  <c r="R509" i="1"/>
  <c r="S509" i="1"/>
  <c r="T509" i="1"/>
  <c r="U509" i="1"/>
  <c r="V509" i="1"/>
  <c r="W509" i="1"/>
  <c r="X509" i="1"/>
  <c r="Y509" i="1"/>
  <c r="AA509" i="1"/>
  <c r="F507" i="1"/>
  <c r="G507" i="1"/>
  <c r="H507" i="1"/>
  <c r="I507" i="1"/>
  <c r="J507" i="1"/>
  <c r="K507" i="1"/>
  <c r="L507" i="1"/>
  <c r="M507" i="1"/>
  <c r="N507" i="1"/>
  <c r="O507" i="1"/>
  <c r="P507" i="1"/>
  <c r="Q507" i="1"/>
  <c r="R507" i="1"/>
  <c r="S507" i="1"/>
  <c r="T507" i="1"/>
  <c r="U507" i="1"/>
  <c r="V507" i="1"/>
  <c r="W507" i="1"/>
  <c r="X507" i="1"/>
  <c r="Y507" i="1"/>
  <c r="AA507" i="1"/>
  <c r="F505" i="1"/>
  <c r="G505" i="1"/>
  <c r="H505" i="1"/>
  <c r="I505" i="1"/>
  <c r="J505" i="1"/>
  <c r="K505" i="1"/>
  <c r="L505" i="1"/>
  <c r="M505" i="1"/>
  <c r="N505" i="1"/>
  <c r="O505" i="1"/>
  <c r="P505" i="1"/>
  <c r="Q505" i="1"/>
  <c r="R505" i="1"/>
  <c r="S505" i="1"/>
  <c r="T505" i="1"/>
  <c r="U505" i="1"/>
  <c r="V505" i="1"/>
  <c r="W505" i="1"/>
  <c r="X505" i="1"/>
  <c r="Y505" i="1"/>
  <c r="AA505" i="1"/>
  <c r="F360" i="1"/>
  <c r="G360" i="1"/>
  <c r="H360" i="1"/>
  <c r="I360" i="1"/>
  <c r="J360" i="1"/>
  <c r="K360" i="1"/>
  <c r="L360" i="1"/>
  <c r="M360" i="1"/>
  <c r="N360" i="1"/>
  <c r="O360" i="1"/>
  <c r="P360" i="1"/>
  <c r="Q360" i="1"/>
  <c r="R360" i="1"/>
  <c r="S360" i="1"/>
  <c r="T360" i="1"/>
  <c r="U360" i="1"/>
  <c r="V360" i="1"/>
  <c r="W360" i="1"/>
  <c r="X360" i="1"/>
  <c r="Y360" i="1"/>
  <c r="AA36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AA190" i="1"/>
  <c r="F492" i="1"/>
  <c r="G492" i="1"/>
  <c r="H492" i="1"/>
  <c r="I492" i="1"/>
  <c r="J492" i="1"/>
  <c r="K492" i="1"/>
  <c r="L492" i="1"/>
  <c r="M492" i="1"/>
  <c r="N492" i="1"/>
  <c r="O492" i="1"/>
  <c r="P492" i="1"/>
  <c r="Q492" i="1"/>
  <c r="R492" i="1"/>
  <c r="S492" i="1"/>
  <c r="T492" i="1"/>
  <c r="U492" i="1"/>
  <c r="V492" i="1"/>
  <c r="W492" i="1"/>
  <c r="X492" i="1"/>
  <c r="Y492" i="1"/>
  <c r="AA492" i="1"/>
  <c r="F349" i="1"/>
  <c r="G349" i="1"/>
  <c r="H349" i="1"/>
  <c r="I349" i="1"/>
  <c r="J349" i="1"/>
  <c r="K349" i="1"/>
  <c r="L349" i="1"/>
  <c r="M349" i="1"/>
  <c r="N349" i="1"/>
  <c r="O349" i="1"/>
  <c r="P349" i="1"/>
  <c r="Q349" i="1"/>
  <c r="R349" i="1"/>
  <c r="S349" i="1"/>
  <c r="T349" i="1"/>
  <c r="U349" i="1"/>
  <c r="V349" i="1"/>
  <c r="W349" i="1"/>
  <c r="X349" i="1"/>
  <c r="Y349" i="1"/>
  <c r="AA349" i="1"/>
  <c r="F490" i="1"/>
  <c r="G490" i="1"/>
  <c r="H490" i="1"/>
  <c r="I490" i="1"/>
  <c r="J490" i="1"/>
  <c r="K490" i="1"/>
  <c r="L490" i="1"/>
  <c r="M490" i="1"/>
  <c r="N490" i="1"/>
  <c r="O490" i="1"/>
  <c r="P490" i="1"/>
  <c r="Q490" i="1"/>
  <c r="R490" i="1"/>
  <c r="S490" i="1"/>
  <c r="T490" i="1"/>
  <c r="U490" i="1"/>
  <c r="V490" i="1"/>
  <c r="W490" i="1"/>
  <c r="X490" i="1"/>
  <c r="Y490" i="1"/>
  <c r="AA490" i="1"/>
  <c r="F347" i="1"/>
  <c r="G347" i="1"/>
  <c r="H347" i="1"/>
  <c r="I347" i="1"/>
  <c r="J347" i="1"/>
  <c r="K347" i="1"/>
  <c r="L347" i="1"/>
  <c r="M347" i="1"/>
  <c r="N347" i="1"/>
  <c r="O347" i="1"/>
  <c r="P347" i="1"/>
  <c r="Q347" i="1"/>
  <c r="R347" i="1"/>
  <c r="S347" i="1"/>
  <c r="T347" i="1"/>
  <c r="U347" i="1"/>
  <c r="V347" i="1"/>
  <c r="W347" i="1"/>
  <c r="X347" i="1"/>
  <c r="Y347" i="1"/>
  <c r="AA347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AA172" i="1"/>
  <c r="F478" i="1"/>
  <c r="G478" i="1"/>
  <c r="H478" i="1"/>
  <c r="I478" i="1"/>
  <c r="J478" i="1"/>
  <c r="K478" i="1"/>
  <c r="L478" i="1"/>
  <c r="M478" i="1"/>
  <c r="N478" i="1"/>
  <c r="O478" i="1"/>
  <c r="P478" i="1"/>
  <c r="Q478" i="1"/>
  <c r="R478" i="1"/>
  <c r="S478" i="1"/>
  <c r="T478" i="1"/>
  <c r="U478" i="1"/>
  <c r="V478" i="1"/>
  <c r="W478" i="1"/>
  <c r="X478" i="1"/>
  <c r="Y478" i="1"/>
  <c r="AA478" i="1"/>
  <c r="F337" i="1"/>
  <c r="G337" i="1"/>
  <c r="H337" i="1"/>
  <c r="I337" i="1"/>
  <c r="J337" i="1"/>
  <c r="K337" i="1"/>
  <c r="L337" i="1"/>
  <c r="M337" i="1"/>
  <c r="N337" i="1"/>
  <c r="O337" i="1"/>
  <c r="P337" i="1"/>
  <c r="Q337" i="1"/>
  <c r="R337" i="1"/>
  <c r="S337" i="1"/>
  <c r="T337" i="1"/>
  <c r="U337" i="1"/>
  <c r="V337" i="1"/>
  <c r="W337" i="1"/>
  <c r="X337" i="1"/>
  <c r="Y337" i="1"/>
  <c r="AA337" i="1"/>
  <c r="F334" i="1"/>
  <c r="G334" i="1"/>
  <c r="H334" i="1"/>
  <c r="I334" i="1"/>
  <c r="J334" i="1"/>
  <c r="K334" i="1"/>
  <c r="L334" i="1"/>
  <c r="M334" i="1"/>
  <c r="N334" i="1"/>
  <c r="O334" i="1"/>
  <c r="P334" i="1"/>
  <c r="Q334" i="1"/>
  <c r="R334" i="1"/>
  <c r="S334" i="1"/>
  <c r="T334" i="1"/>
  <c r="U334" i="1"/>
  <c r="V334" i="1"/>
  <c r="W334" i="1"/>
  <c r="X334" i="1"/>
  <c r="Y334" i="1"/>
  <c r="AA334" i="1"/>
  <c r="F455" i="1"/>
  <c r="G455" i="1"/>
  <c r="H455" i="1"/>
  <c r="I455" i="1"/>
  <c r="J455" i="1"/>
  <c r="K455" i="1"/>
  <c r="L455" i="1"/>
  <c r="M455" i="1"/>
  <c r="N455" i="1"/>
  <c r="O455" i="1"/>
  <c r="P455" i="1"/>
  <c r="Q455" i="1"/>
  <c r="R455" i="1"/>
  <c r="S455" i="1"/>
  <c r="T455" i="1"/>
  <c r="U455" i="1"/>
  <c r="V455" i="1"/>
  <c r="W455" i="1"/>
  <c r="X455" i="1"/>
  <c r="Y455" i="1"/>
  <c r="AA455" i="1"/>
  <c r="F321" i="1"/>
  <c r="G321" i="1"/>
  <c r="H321" i="1"/>
  <c r="I321" i="1"/>
  <c r="I199" i="1" s="1"/>
  <c r="J321" i="1"/>
  <c r="J199" i="1" s="1"/>
  <c r="K321" i="1"/>
  <c r="L321" i="1"/>
  <c r="M321" i="1"/>
  <c r="N321" i="1"/>
  <c r="N199" i="1" s="1"/>
  <c r="O321" i="1"/>
  <c r="P321" i="1"/>
  <c r="Q321" i="1"/>
  <c r="R321" i="1"/>
  <c r="S321" i="1"/>
  <c r="T321" i="1"/>
  <c r="U321" i="1"/>
  <c r="U199" i="1" s="1"/>
  <c r="V321" i="1"/>
  <c r="V199" i="1" s="1"/>
  <c r="W321" i="1"/>
  <c r="X321" i="1"/>
  <c r="Y321" i="1"/>
  <c r="AA321" i="1"/>
  <c r="AA199" i="1" s="1"/>
  <c r="F449" i="1"/>
  <c r="G449" i="1"/>
  <c r="H449" i="1"/>
  <c r="I449" i="1"/>
  <c r="J449" i="1"/>
  <c r="K449" i="1"/>
  <c r="L449" i="1"/>
  <c r="M449" i="1"/>
  <c r="N449" i="1"/>
  <c r="O449" i="1"/>
  <c r="P449" i="1"/>
  <c r="Q449" i="1"/>
  <c r="R449" i="1"/>
  <c r="S449" i="1"/>
  <c r="T449" i="1"/>
  <c r="U449" i="1"/>
  <c r="V449" i="1"/>
  <c r="W449" i="1"/>
  <c r="X449" i="1"/>
  <c r="Y449" i="1"/>
  <c r="AA449" i="1"/>
  <c r="F397" i="1"/>
  <c r="G397" i="1"/>
  <c r="H397" i="1"/>
  <c r="I397" i="1"/>
  <c r="J397" i="1"/>
  <c r="K397" i="1"/>
  <c r="L397" i="1"/>
  <c r="M397" i="1"/>
  <c r="N397" i="1"/>
  <c r="O397" i="1"/>
  <c r="P397" i="1"/>
  <c r="Q397" i="1"/>
  <c r="R397" i="1"/>
  <c r="S397" i="1"/>
  <c r="T397" i="1"/>
  <c r="U397" i="1"/>
  <c r="V397" i="1"/>
  <c r="W397" i="1"/>
  <c r="X397" i="1"/>
  <c r="Y397" i="1"/>
  <c r="AA397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F403" i="1"/>
  <c r="G403" i="1"/>
  <c r="H403" i="1"/>
  <c r="I403" i="1"/>
  <c r="J403" i="1"/>
  <c r="K403" i="1"/>
  <c r="L403" i="1"/>
  <c r="M403" i="1"/>
  <c r="N403" i="1"/>
  <c r="O403" i="1"/>
  <c r="P403" i="1"/>
  <c r="Q403" i="1"/>
  <c r="R403" i="1"/>
  <c r="S403" i="1"/>
  <c r="T403" i="1"/>
  <c r="U403" i="1"/>
  <c r="V403" i="1"/>
  <c r="W403" i="1"/>
  <c r="X403" i="1"/>
  <c r="Y403" i="1"/>
  <c r="AA403" i="1"/>
  <c r="L199" i="1" l="1"/>
  <c r="X199" i="1"/>
  <c r="Y199" i="1"/>
  <c r="M199" i="1"/>
  <c r="W199" i="1"/>
  <c r="K199" i="1"/>
  <c r="T199" i="1"/>
  <c r="H199" i="1"/>
  <c r="S199" i="1"/>
  <c r="G199" i="1"/>
  <c r="R199" i="1"/>
  <c r="F199" i="1"/>
  <c r="Q199" i="1"/>
  <c r="P199" i="1"/>
  <c r="O199" i="1"/>
  <c r="Q17" i="1"/>
  <c r="P17" i="1"/>
  <c r="O17" i="1"/>
  <c r="AA17" i="1"/>
  <c r="N17" i="1"/>
  <c r="Y17" i="1"/>
  <c r="M17" i="1"/>
  <c r="X17" i="1"/>
  <c r="L17" i="1"/>
  <c r="W17" i="1"/>
  <c r="K17" i="1"/>
  <c r="V17" i="1"/>
  <c r="J17" i="1"/>
  <c r="U17" i="1"/>
  <c r="I17" i="1"/>
  <c r="T17" i="1"/>
  <c r="H17" i="1"/>
  <c r="S17" i="1"/>
  <c r="G17" i="1"/>
  <c r="R17" i="1"/>
  <c r="F17" i="1"/>
  <c r="Z163" i="1"/>
  <c r="Z481" i="1" l="1"/>
  <c r="Z171" i="1"/>
  <c r="Z501" i="1"/>
  <c r="E501" i="1" s="1"/>
  <c r="Z499" i="1"/>
  <c r="Z356" i="1"/>
  <c r="Z124" i="1"/>
  <c r="Z259" i="1"/>
  <c r="E259" i="1" s="1"/>
  <c r="Z401" i="1"/>
  <c r="Z402" i="1"/>
  <c r="Z314" i="1"/>
  <c r="Z138" i="1"/>
  <c r="Z324" i="1"/>
  <c r="Z326" i="1"/>
  <c r="Z327" i="1"/>
  <c r="Z464" i="1"/>
  <c r="Z142" i="1"/>
  <c r="Z145" i="1"/>
  <c r="Z331" i="1"/>
  <c r="Z332" i="1"/>
  <c r="Z333" i="1"/>
  <c r="Z335" i="1"/>
  <c r="Z470" i="1"/>
  <c r="Z472" i="1"/>
  <c r="Z473" i="1"/>
  <c r="Z153" i="1"/>
  <c r="Z176" i="1"/>
  <c r="Z177" i="1"/>
  <c r="Z180" i="1"/>
  <c r="Z351" i="1"/>
  <c r="Z352" i="1"/>
  <c r="Z353" i="1"/>
  <c r="Z497" i="1"/>
  <c r="Z186" i="1"/>
  <c r="Z187" i="1"/>
  <c r="Z357" i="1"/>
  <c r="Z358" i="1"/>
  <c r="Z500" i="1"/>
  <c r="Z361" i="1"/>
  <c r="Z362" i="1"/>
  <c r="Z508" i="1"/>
  <c r="Z507" i="1" s="1"/>
  <c r="Z512" i="1"/>
  <c r="Z511" i="1" s="1"/>
  <c r="Z198" i="1"/>
  <c r="Z158" i="1"/>
  <c r="Z159" i="1"/>
  <c r="Z165" i="1"/>
  <c r="Z167" i="1"/>
  <c r="Z169" i="1"/>
  <c r="Z161" i="1"/>
  <c r="Z342" i="1"/>
  <c r="Z346" i="1"/>
  <c r="Z482" i="1"/>
  <c r="Z483" i="1"/>
  <c r="Z484" i="1"/>
  <c r="Z485" i="1"/>
  <c r="Z487" i="1"/>
  <c r="Z489" i="1"/>
  <c r="Z85" i="1"/>
  <c r="Z87" i="1"/>
  <c r="Z88" i="1"/>
  <c r="Z268" i="1"/>
  <c r="Z269" i="1"/>
  <c r="Z275" i="1"/>
  <c r="Z418" i="1"/>
  <c r="Z419" i="1"/>
  <c r="Z420" i="1"/>
  <c r="Z421" i="1"/>
  <c r="Z424" i="1"/>
  <c r="Z425" i="1"/>
  <c r="Z458" i="1"/>
  <c r="Z143" i="1"/>
  <c r="Z178" i="1"/>
  <c r="Z190" i="1"/>
  <c r="Z506" i="1"/>
  <c r="Z505" i="1" s="1"/>
  <c r="Z168" i="1"/>
  <c r="Z272" i="1"/>
  <c r="Z330" i="1" l="1"/>
  <c r="Z480" i="1"/>
  <c r="Z164" i="1"/>
  <c r="E142" i="1"/>
  <c r="E57" i="1"/>
  <c r="E356" i="1"/>
  <c r="Z360" i="1"/>
  <c r="E171" i="1"/>
  <c r="Z325" i="1"/>
  <c r="E325" i="1" s="1"/>
  <c r="Z261" i="1"/>
  <c r="E261" i="1" s="1"/>
  <c r="Z253" i="1"/>
  <c r="E253" i="1" s="1"/>
  <c r="Z409" i="1"/>
  <c r="E409" i="1" s="1"/>
  <c r="Z255" i="1"/>
  <c r="E255" i="1" s="1"/>
  <c r="Z69" i="1"/>
  <c r="E69" i="1" s="1"/>
  <c r="Z408" i="1"/>
  <c r="E408" i="1" s="1"/>
  <c r="Z254" i="1"/>
  <c r="E254" i="1" s="1"/>
  <c r="Z68" i="1"/>
  <c r="E68" i="1" s="1"/>
  <c r="Z258" i="1"/>
  <c r="E258" i="1" s="1"/>
  <c r="Z257" i="1"/>
  <c r="E257" i="1" s="1"/>
  <c r="Z67" i="1"/>
  <c r="E67" i="1" s="1"/>
  <c r="Z407" i="1"/>
  <c r="E407" i="1" s="1"/>
  <c r="Z251" i="1"/>
  <c r="E251" i="1" s="1"/>
  <c r="Z410" i="1"/>
  <c r="E410" i="1" s="1"/>
  <c r="Z72" i="1"/>
  <c r="E72" i="1" s="1"/>
  <c r="Z256" i="1"/>
  <c r="E256" i="1" s="1"/>
  <c r="Z406" i="1"/>
  <c r="Z250" i="1"/>
  <c r="E250" i="1" s="1"/>
  <c r="Z71" i="1"/>
  <c r="E71" i="1" s="1"/>
  <c r="Z414" i="1"/>
  <c r="E414" i="1" s="1"/>
  <c r="Z411" i="1"/>
  <c r="E411" i="1" s="1"/>
  <c r="Z405" i="1"/>
  <c r="E405" i="1" s="1"/>
  <c r="Z404" i="1"/>
  <c r="Z248" i="1"/>
  <c r="Z413" i="1"/>
  <c r="Z249" i="1"/>
  <c r="E249" i="1" s="1"/>
  <c r="Z70" i="1"/>
  <c r="E70" i="1" s="1"/>
  <c r="Z416" i="1"/>
  <c r="Z75" i="1"/>
  <c r="E75" i="1" s="1"/>
  <c r="Z412" i="1"/>
  <c r="Z415" i="1"/>
  <c r="Z262" i="1"/>
  <c r="E262" i="1" s="1"/>
  <c r="Z74" i="1"/>
  <c r="E74" i="1" s="1"/>
  <c r="Z260" i="1"/>
  <c r="E260" i="1" s="1"/>
  <c r="Z73" i="1"/>
  <c r="E73" i="1" s="1"/>
  <c r="Z66" i="1"/>
  <c r="E66" i="1" s="1"/>
  <c r="Z65" i="1"/>
  <c r="E481" i="1"/>
  <c r="E499" i="1"/>
  <c r="E353" i="1"/>
  <c r="Z267" i="1"/>
  <c r="E145" i="1"/>
  <c r="E167" i="1"/>
  <c r="E124" i="1"/>
  <c r="E482" i="1"/>
  <c r="Z144" i="1"/>
  <c r="E144" i="1" s="1"/>
  <c r="Z471" i="1"/>
  <c r="Z469" i="1" s="1"/>
  <c r="Z179" i="1"/>
  <c r="E179" i="1" s="1"/>
  <c r="E484" i="1"/>
  <c r="E177" i="1"/>
  <c r="Z453" i="1"/>
  <c r="Z504" i="1"/>
  <c r="E421" i="1"/>
  <c r="E362" i="1"/>
  <c r="Z241" i="1"/>
  <c r="Z122" i="1"/>
  <c r="Z120" i="1" s="1"/>
  <c r="Z328" i="1"/>
  <c r="Z350" i="1"/>
  <c r="Z188" i="1"/>
  <c r="Z184" i="1" s="1"/>
  <c r="Z510" i="1"/>
  <c r="Z278" i="1"/>
  <c r="E278" i="1" s="1"/>
  <c r="Z140" i="1"/>
  <c r="E169" i="1"/>
  <c r="Z86" i="1"/>
  <c r="E86" i="1" s="1"/>
  <c r="E191" i="1"/>
  <c r="E331" i="1"/>
  <c r="E483" i="1"/>
  <c r="E269" i="1"/>
  <c r="Z242" i="1"/>
  <c r="E242" i="1" s="1"/>
  <c r="Z313" i="1"/>
  <c r="Z312" i="1" s="1"/>
  <c r="Z322" i="1"/>
  <c r="E333" i="1"/>
  <c r="Z355" i="1"/>
  <c r="Z354" i="1" s="1"/>
  <c r="Z488" i="1"/>
  <c r="Z486" i="1" s="1"/>
  <c r="Z270" i="1"/>
  <c r="E270" i="1" s="1"/>
  <c r="Z422" i="1"/>
  <c r="E422" i="1" s="1"/>
  <c r="E178" i="1"/>
  <c r="E143" i="1"/>
  <c r="E419" i="1"/>
  <c r="E165" i="1"/>
  <c r="Z243" i="1"/>
  <c r="E243" i="1" s="1"/>
  <c r="Z456" i="1"/>
  <c r="Z459" i="1"/>
  <c r="E459" i="1" s="1"/>
  <c r="Z466" i="1"/>
  <c r="Z154" i="1"/>
  <c r="E154" i="1" s="1"/>
  <c r="Z197" i="1"/>
  <c r="E163" i="1"/>
  <c r="Z271" i="1"/>
  <c r="E271" i="1" s="1"/>
  <c r="Z423" i="1"/>
  <c r="E423" i="1" s="1"/>
  <c r="E418" i="1"/>
  <c r="E187" i="1"/>
  <c r="E153" i="1"/>
  <c r="E332" i="1"/>
  <c r="E326" i="1"/>
  <c r="E402" i="1"/>
  <c r="E58" i="1"/>
  <c r="Z244" i="1"/>
  <c r="E244" i="1" s="1"/>
  <c r="Z450" i="1"/>
  <c r="Z460" i="1"/>
  <c r="E460" i="1" s="1"/>
  <c r="Z467" i="1"/>
  <c r="Z338" i="1"/>
  <c r="Z493" i="1"/>
  <c r="Z341" i="1"/>
  <c r="Z340" i="1" s="1"/>
  <c r="E161" i="1"/>
  <c r="E272" i="1"/>
  <c r="E473" i="1"/>
  <c r="E489" i="1"/>
  <c r="E159" i="1"/>
  <c r="E512" i="1"/>
  <c r="E352" i="1"/>
  <c r="E314" i="1"/>
  <c r="Z398" i="1"/>
  <c r="Z451" i="1"/>
  <c r="E451" i="1" s="1"/>
  <c r="Z137" i="1"/>
  <c r="Z461" i="1"/>
  <c r="E461" i="1" s="1"/>
  <c r="Z468" i="1"/>
  <c r="Z339" i="1"/>
  <c r="E339" i="1" s="1"/>
  <c r="Z494" i="1"/>
  <c r="E494" i="1" s="1"/>
  <c r="Z366" i="1"/>
  <c r="Z365" i="1" s="1"/>
  <c r="Z80" i="1"/>
  <c r="E80" i="1" s="1"/>
  <c r="Z273" i="1"/>
  <c r="E273" i="1" s="1"/>
  <c r="Z277" i="1"/>
  <c r="E424" i="1"/>
  <c r="Z336" i="1"/>
  <c r="E336" i="1" s="1"/>
  <c r="E361" i="1"/>
  <c r="E168" i="1"/>
  <c r="E158" i="1"/>
  <c r="E88" i="1"/>
  <c r="E186" i="1"/>
  <c r="E351" i="1"/>
  <c r="E324" i="1"/>
  <c r="Z399" i="1"/>
  <c r="E399" i="1" s="1"/>
  <c r="Z127" i="1"/>
  <c r="Z462" i="1"/>
  <c r="E462" i="1" s="1"/>
  <c r="Z147" i="1"/>
  <c r="Z479" i="1"/>
  <c r="Z495" i="1"/>
  <c r="E495" i="1" s="1"/>
  <c r="Z502" i="1"/>
  <c r="E502" i="1" s="1"/>
  <c r="Z514" i="1"/>
  <c r="Z344" i="1"/>
  <c r="Z81" i="1"/>
  <c r="E81" i="1" s="1"/>
  <c r="Z274" i="1"/>
  <c r="E274" i="1" s="1"/>
  <c r="E472" i="1"/>
  <c r="E487" i="1"/>
  <c r="E420" i="1"/>
  <c r="E358" i="1"/>
  <c r="E87" i="1"/>
  <c r="E198" i="1"/>
  <c r="E470" i="1"/>
  <c r="E458" i="1"/>
  <c r="E425" i="1"/>
  <c r="E357" i="1"/>
  <c r="Z400" i="1"/>
  <c r="E400" i="1" s="1"/>
  <c r="Z454" i="1"/>
  <c r="E454" i="1" s="1"/>
  <c r="Z463" i="1"/>
  <c r="Z148" i="1"/>
  <c r="E148" i="1" s="1"/>
  <c r="Z175" i="1"/>
  <c r="Z496" i="1"/>
  <c r="E496" i="1" s="1"/>
  <c r="Z503" i="1"/>
  <c r="Z157" i="1"/>
  <c r="Z156" i="1" s="1"/>
  <c r="Z345" i="1"/>
  <c r="Z83" i="1"/>
  <c r="E83" i="1" s="1"/>
  <c r="Z427" i="1"/>
  <c r="E427" i="1" s="1"/>
  <c r="E85" i="1"/>
  <c r="E508" i="1"/>
  <c r="E180" i="1"/>
  <c r="E497" i="1"/>
  <c r="E485" i="1"/>
  <c r="E342" i="1"/>
  <c r="E176" i="1"/>
  <c r="E138" i="1"/>
  <c r="E59" i="1"/>
  <c r="E268" i="1"/>
  <c r="E335" i="1"/>
  <c r="E464" i="1"/>
  <c r="E327" i="1"/>
  <c r="E275" i="1"/>
  <c r="E500" i="1"/>
  <c r="E401" i="1"/>
  <c r="E346" i="1"/>
  <c r="E277" i="1" l="1"/>
  <c r="Z266" i="1"/>
  <c r="Z240" i="1"/>
  <c r="Z323" i="1"/>
  <c r="E56" i="1"/>
  <c r="E417" i="1"/>
  <c r="Z417" i="1"/>
  <c r="Z343" i="1"/>
  <c r="Z64" i="1"/>
  <c r="Z174" i="1"/>
  <c r="Z465" i="1"/>
  <c r="E141" i="1"/>
  <c r="Z141" i="1"/>
  <c r="E330" i="1"/>
  <c r="Z136" i="1"/>
  <c r="E480" i="1"/>
  <c r="E164" i="1"/>
  <c r="Z457" i="1"/>
  <c r="Z452" i="1"/>
  <c r="Z146" i="1"/>
  <c r="Z498" i="1"/>
  <c r="E79" i="1"/>
  <c r="E152" i="1"/>
  <c r="Z152" i="1"/>
  <c r="E404" i="1"/>
  <c r="Z403" i="1"/>
  <c r="E248" i="1"/>
  <c r="E456" i="1"/>
  <c r="Z455" i="1"/>
  <c r="E503" i="1"/>
  <c r="E479" i="1"/>
  <c r="Z478" i="1"/>
  <c r="E322" i="1"/>
  <c r="Z321" i="1"/>
  <c r="E188" i="1"/>
  <c r="E184" i="1" s="1"/>
  <c r="E453" i="1"/>
  <c r="E452" i="1" s="1"/>
  <c r="E127" i="1"/>
  <c r="E398" i="1"/>
  <c r="Z397" i="1"/>
  <c r="E493" i="1"/>
  <c r="Z492" i="1"/>
  <c r="Z79" i="1"/>
  <c r="E175" i="1"/>
  <c r="E463" i="1"/>
  <c r="E457" i="1" s="1"/>
  <c r="E338" i="1"/>
  <c r="Z337" i="1"/>
  <c r="E122" i="1"/>
  <c r="E120" i="1" s="1"/>
  <c r="E467" i="1"/>
  <c r="E241" i="1"/>
  <c r="E240" i="1" s="1"/>
  <c r="E471" i="1"/>
  <c r="E469" i="1" s="1"/>
  <c r="E350" i="1"/>
  <c r="Z349" i="1"/>
  <c r="E328" i="1"/>
  <c r="E323" i="1" s="1"/>
  <c r="E313" i="1"/>
  <c r="E312" i="1" s="1"/>
  <c r="Z334" i="1"/>
  <c r="E147" i="1"/>
  <c r="E146" i="1" s="1"/>
  <c r="E344" i="1"/>
  <c r="E366" i="1"/>
  <c r="E365" i="1" s="1"/>
  <c r="E450" i="1"/>
  <c r="Z449" i="1"/>
  <c r="E514" i="1"/>
  <c r="Z513" i="1"/>
  <c r="E197" i="1"/>
  <c r="Z196" i="1"/>
  <c r="E488" i="1"/>
  <c r="E486" i="1" s="1"/>
  <c r="E140" i="1"/>
  <c r="E341" i="1"/>
  <c r="E340" i="1" s="1"/>
  <c r="E345" i="1"/>
  <c r="E355" i="1"/>
  <c r="E354" i="1" s="1"/>
  <c r="E137" i="1"/>
  <c r="E136" i="1" s="1"/>
  <c r="E157" i="1"/>
  <c r="E156" i="1" s="1"/>
  <c r="E468" i="1"/>
  <c r="E466" i="1"/>
  <c r="E510" i="1"/>
  <c r="Z509" i="1"/>
  <c r="E504" i="1"/>
  <c r="E65" i="1"/>
  <c r="E64" i="1" s="1"/>
  <c r="E416" i="1"/>
  <c r="E412" i="1"/>
  <c r="E415" i="1"/>
  <c r="E406" i="1"/>
  <c r="E413" i="1"/>
  <c r="Z252" i="1"/>
  <c r="E252" i="1" s="1"/>
  <c r="E267" i="1"/>
  <c r="S77" i="3"/>
  <c r="V77" i="3" s="1"/>
  <c r="S78" i="3"/>
  <c r="V78" i="3" s="1"/>
  <c r="S79" i="3"/>
  <c r="V79" i="3" s="1"/>
  <c r="S80" i="3"/>
  <c r="V80" i="3" s="1"/>
  <c r="S81" i="3"/>
  <c r="V81" i="3" s="1"/>
  <c r="S82" i="3"/>
  <c r="V82" i="3" s="1"/>
  <c r="S83" i="3"/>
  <c r="V83" i="3" s="1"/>
  <c r="S84" i="3"/>
  <c r="V84" i="3" s="1"/>
  <c r="S85" i="3"/>
  <c r="V85" i="3" s="1"/>
  <c r="S264" i="3"/>
  <c r="V264" i="3" s="1"/>
  <c r="S424" i="3"/>
  <c r="V424" i="3" s="1"/>
  <c r="S415" i="3"/>
  <c r="V415" i="3" s="1"/>
  <c r="S416" i="3"/>
  <c r="V416" i="3" s="1"/>
  <c r="S417" i="3"/>
  <c r="V417" i="3" s="1"/>
  <c r="S418" i="3"/>
  <c r="V418" i="3" s="1"/>
  <c r="S419" i="3"/>
  <c r="V419" i="3" s="1"/>
  <c r="S420" i="3"/>
  <c r="V420" i="3" s="1"/>
  <c r="S421" i="3"/>
  <c r="V421" i="3" s="1"/>
  <c r="S422" i="3"/>
  <c r="V422" i="3" s="1"/>
  <c r="T77" i="3"/>
  <c r="T78" i="3"/>
  <c r="T79" i="3"/>
  <c r="T80" i="3"/>
  <c r="T81" i="3"/>
  <c r="T82" i="3"/>
  <c r="T83" i="3"/>
  <c r="T84" i="3"/>
  <c r="T85" i="3"/>
  <c r="T265" i="3"/>
  <c r="T266" i="3"/>
  <c r="T267" i="3"/>
  <c r="T268" i="3"/>
  <c r="T269" i="3"/>
  <c r="T270" i="3"/>
  <c r="T271" i="3"/>
  <c r="T424" i="3"/>
  <c r="T272" i="3"/>
  <c r="T415" i="3"/>
  <c r="T416" i="3"/>
  <c r="T417" i="3"/>
  <c r="T418" i="3"/>
  <c r="T419" i="3"/>
  <c r="T420" i="3"/>
  <c r="T421" i="3"/>
  <c r="T422" i="3"/>
  <c r="S76" i="3" l="1"/>
  <c r="V76" i="3" s="1"/>
  <c r="S263" i="3"/>
  <c r="V263" i="3" s="1"/>
  <c r="E266" i="1"/>
  <c r="Z247" i="1"/>
  <c r="E247" i="1"/>
  <c r="S414" i="3"/>
  <c r="V414" i="3" s="1"/>
  <c r="E465" i="1"/>
  <c r="E343" i="1"/>
  <c r="E498" i="1"/>
  <c r="E196" i="1"/>
  <c r="T264" i="3"/>
  <c r="K76" i="3"/>
  <c r="J76" i="3"/>
  <c r="T263" i="3" l="1"/>
  <c r="T414" i="3"/>
  <c r="T76" i="3"/>
  <c r="T190" i="3"/>
  <c r="S190" i="3"/>
  <c r="V190" i="3" s="1"/>
  <c r="Z193" i="1"/>
  <c r="Z192" i="1" s="1"/>
  <c r="I86" i="3"/>
  <c r="I318" i="3"/>
  <c r="I452" i="3"/>
  <c r="I475" i="3"/>
  <c r="I169" i="3"/>
  <c r="I344" i="3"/>
  <c r="I487" i="3"/>
  <c r="I187" i="3"/>
  <c r="I502" i="3"/>
  <c r="I504" i="3"/>
  <c r="I506" i="3"/>
  <c r="I508" i="3"/>
  <c r="I510" i="3"/>
  <c r="J86" i="3"/>
  <c r="K86" i="3"/>
  <c r="J318" i="3"/>
  <c r="K318" i="3"/>
  <c r="J452" i="3"/>
  <c r="K452" i="3"/>
  <c r="J475" i="3"/>
  <c r="K475" i="3"/>
  <c r="J169" i="3"/>
  <c r="K169" i="3"/>
  <c r="J344" i="3"/>
  <c r="K344" i="3"/>
  <c r="J487" i="3"/>
  <c r="K487" i="3"/>
  <c r="J187" i="3"/>
  <c r="K187" i="3"/>
  <c r="J502" i="3"/>
  <c r="K502" i="3"/>
  <c r="J504" i="3"/>
  <c r="K504" i="3"/>
  <c r="J506" i="3"/>
  <c r="K506" i="3"/>
  <c r="J508" i="3"/>
  <c r="K508" i="3"/>
  <c r="J510" i="3"/>
  <c r="K510" i="3"/>
  <c r="S189" i="3" l="1"/>
  <c r="V189" i="3" s="1"/>
  <c r="C11" i="6"/>
  <c r="C10" i="6" s="1"/>
  <c r="E193" i="1"/>
  <c r="E192" i="1" s="1"/>
  <c r="T189" i="3"/>
  <c r="K331" i="3"/>
  <c r="K196" i="3" s="1"/>
  <c r="K446" i="3"/>
  <c r="I193" i="3"/>
  <c r="I14" i="3" s="1"/>
  <c r="J446" i="3"/>
  <c r="J331" i="3"/>
  <c r="K489" i="3"/>
  <c r="J489" i="3"/>
  <c r="K193" i="3"/>
  <c r="K14" i="3" s="1"/>
  <c r="J193" i="3"/>
  <c r="J14" i="3" s="1"/>
  <c r="I357" i="3"/>
  <c r="K346" i="3"/>
  <c r="K334" i="3"/>
  <c r="I446" i="3"/>
  <c r="J346" i="3"/>
  <c r="J334" i="3"/>
  <c r="I489" i="3"/>
  <c r="I331" i="3"/>
  <c r="I346" i="3"/>
  <c r="I334" i="3"/>
  <c r="K400" i="3"/>
  <c r="J400" i="3"/>
  <c r="J357" i="3"/>
  <c r="I400" i="3"/>
  <c r="K357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367" i="3"/>
  <c r="T368" i="3"/>
  <c r="T370" i="3"/>
  <c r="T371" i="3"/>
  <c r="T372" i="3"/>
  <c r="T373" i="3"/>
  <c r="T374" i="3"/>
  <c r="T375" i="3"/>
  <c r="T376" i="3"/>
  <c r="T369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62" i="3"/>
  <c r="T63" i="3"/>
  <c r="T64" i="3"/>
  <c r="T65" i="3"/>
  <c r="T66" i="3"/>
  <c r="T67" i="3"/>
  <c r="T68" i="3"/>
  <c r="T69" i="3"/>
  <c r="T70" i="3"/>
  <c r="T71" i="3"/>
  <c r="T72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87" i="3"/>
  <c r="T278" i="3"/>
  <c r="T54" i="3"/>
  <c r="T55" i="3"/>
  <c r="T238" i="3"/>
  <c r="T239" i="3"/>
  <c r="T240" i="3"/>
  <c r="T241" i="3"/>
  <c r="T395" i="3"/>
  <c r="T396" i="3"/>
  <c r="T397" i="3"/>
  <c r="T398" i="3"/>
  <c r="T399" i="3"/>
  <c r="T119" i="3"/>
  <c r="T121" i="3"/>
  <c r="T310" i="3"/>
  <c r="T311" i="3"/>
  <c r="T447" i="3"/>
  <c r="T448" i="3"/>
  <c r="T125" i="3"/>
  <c r="T451" i="3"/>
  <c r="T126" i="3"/>
  <c r="T127" i="3"/>
  <c r="T450" i="3"/>
  <c r="T129" i="3"/>
  <c r="T319" i="3"/>
  <c r="T453" i="3"/>
  <c r="T134" i="3"/>
  <c r="T135" i="3"/>
  <c r="T137" i="3"/>
  <c r="T321" i="3"/>
  <c r="T322" i="3"/>
  <c r="T323" i="3"/>
  <c r="T324" i="3"/>
  <c r="T325" i="3"/>
  <c r="T455" i="3"/>
  <c r="T456" i="3"/>
  <c r="T457" i="3"/>
  <c r="T458" i="3"/>
  <c r="T461" i="3"/>
  <c r="T139" i="3"/>
  <c r="T140" i="3"/>
  <c r="T141" i="3"/>
  <c r="T142" i="3"/>
  <c r="T328" i="3"/>
  <c r="T329" i="3"/>
  <c r="T330" i="3"/>
  <c r="T463" i="3"/>
  <c r="T464" i="3"/>
  <c r="T465" i="3"/>
  <c r="T144" i="3"/>
  <c r="T145" i="3"/>
  <c r="T332" i="3"/>
  <c r="T333" i="3"/>
  <c r="T467" i="3"/>
  <c r="T468" i="3"/>
  <c r="T469" i="3"/>
  <c r="T470" i="3"/>
  <c r="T150" i="3"/>
  <c r="T151" i="3"/>
  <c r="T335" i="3"/>
  <c r="T336" i="3"/>
  <c r="T476" i="3"/>
  <c r="T170" i="3"/>
  <c r="T345" i="3"/>
  <c r="T488" i="3"/>
  <c r="T172" i="3"/>
  <c r="T173" i="3"/>
  <c r="T174" i="3"/>
  <c r="T175" i="3"/>
  <c r="T176" i="3"/>
  <c r="T177" i="3"/>
  <c r="T347" i="3"/>
  <c r="T348" i="3"/>
  <c r="T349" i="3"/>
  <c r="T350" i="3"/>
  <c r="T490" i="3"/>
  <c r="T491" i="3"/>
  <c r="T492" i="3"/>
  <c r="T493" i="3"/>
  <c r="T494" i="3"/>
  <c r="T183" i="3"/>
  <c r="T184" i="3"/>
  <c r="T185" i="3"/>
  <c r="T352" i="3"/>
  <c r="T353" i="3"/>
  <c r="T354" i="3"/>
  <c r="T355" i="3"/>
  <c r="T496" i="3"/>
  <c r="T497" i="3"/>
  <c r="T498" i="3"/>
  <c r="T499" i="3"/>
  <c r="T500" i="3"/>
  <c r="T501" i="3"/>
  <c r="T188" i="3"/>
  <c r="T358" i="3"/>
  <c r="T359" i="3"/>
  <c r="T503" i="3"/>
  <c r="T505" i="3"/>
  <c r="T507" i="3"/>
  <c r="T509" i="3"/>
  <c r="T194" i="3"/>
  <c r="T195" i="3"/>
  <c r="T511" i="3"/>
  <c r="T154" i="3"/>
  <c r="T155" i="3"/>
  <c r="T156" i="3"/>
  <c r="T162" i="3"/>
  <c r="T164" i="3"/>
  <c r="T165" i="3"/>
  <c r="T166" i="3"/>
  <c r="T168" i="3"/>
  <c r="T158" i="3"/>
  <c r="T160" i="3"/>
  <c r="T338" i="3"/>
  <c r="T339" i="3"/>
  <c r="T341" i="3"/>
  <c r="T342" i="3"/>
  <c r="T343" i="3"/>
  <c r="T478" i="3"/>
  <c r="T479" i="3"/>
  <c r="T480" i="3"/>
  <c r="T481" i="3"/>
  <c r="T482" i="3"/>
  <c r="T484" i="3"/>
  <c r="T485" i="3"/>
  <c r="T486" i="3"/>
  <c r="I196" i="3" l="1"/>
  <c r="J196" i="3"/>
  <c r="I365" i="3"/>
  <c r="J365" i="3"/>
  <c r="K365" i="3"/>
  <c r="U346" i="3"/>
  <c r="U400" i="3"/>
  <c r="P510" i="3"/>
  <c r="Q510" i="3"/>
  <c r="R510" i="3"/>
  <c r="P193" i="3"/>
  <c r="Q193" i="3"/>
  <c r="R193" i="3"/>
  <c r="P508" i="3"/>
  <c r="Q508" i="3"/>
  <c r="R508" i="3"/>
  <c r="P506" i="3"/>
  <c r="Q506" i="3"/>
  <c r="R506" i="3"/>
  <c r="P504" i="3"/>
  <c r="Q504" i="3"/>
  <c r="R504" i="3"/>
  <c r="P502" i="3"/>
  <c r="Q502" i="3"/>
  <c r="R502" i="3"/>
  <c r="P357" i="3"/>
  <c r="Q357" i="3"/>
  <c r="R357" i="3"/>
  <c r="P187" i="3"/>
  <c r="Q187" i="3"/>
  <c r="R187" i="3"/>
  <c r="P489" i="3"/>
  <c r="Q489" i="3"/>
  <c r="R489" i="3"/>
  <c r="P346" i="3"/>
  <c r="Q346" i="3"/>
  <c r="R346" i="3"/>
  <c r="P487" i="3"/>
  <c r="Q487" i="3"/>
  <c r="R487" i="3"/>
  <c r="P344" i="3"/>
  <c r="Q344" i="3"/>
  <c r="R344" i="3"/>
  <c r="P169" i="3"/>
  <c r="Q169" i="3"/>
  <c r="R169" i="3"/>
  <c r="P475" i="3"/>
  <c r="Q475" i="3"/>
  <c r="R475" i="3"/>
  <c r="P334" i="3"/>
  <c r="Q334" i="3"/>
  <c r="R334" i="3"/>
  <c r="P149" i="3"/>
  <c r="Q149" i="3"/>
  <c r="R149" i="3"/>
  <c r="P331" i="3"/>
  <c r="Q331" i="3"/>
  <c r="R331" i="3"/>
  <c r="P452" i="3"/>
  <c r="Q452" i="3"/>
  <c r="R452" i="3"/>
  <c r="P318" i="3"/>
  <c r="Q318" i="3"/>
  <c r="R318" i="3"/>
  <c r="P446" i="3"/>
  <c r="Q446" i="3"/>
  <c r="R446" i="3"/>
  <c r="P394" i="3"/>
  <c r="Q394" i="3"/>
  <c r="R394" i="3"/>
  <c r="P86" i="3"/>
  <c r="Q86" i="3"/>
  <c r="R86" i="3"/>
  <c r="S17" i="3"/>
  <c r="V17" i="3" s="1"/>
  <c r="S18" i="3"/>
  <c r="V18" i="3" s="1"/>
  <c r="S19" i="3"/>
  <c r="V19" i="3" s="1"/>
  <c r="S20" i="3"/>
  <c r="V20" i="3" s="1"/>
  <c r="S21" i="3"/>
  <c r="V21" i="3" s="1"/>
  <c r="S22" i="3"/>
  <c r="V22" i="3" s="1"/>
  <c r="S23" i="3"/>
  <c r="V23" i="3" s="1"/>
  <c r="S24" i="3"/>
  <c r="V24" i="3" s="1"/>
  <c r="S25" i="3"/>
  <c r="V25" i="3" s="1"/>
  <c r="S26" i="3"/>
  <c r="V26" i="3" s="1"/>
  <c r="S27" i="3"/>
  <c r="V27" i="3" s="1"/>
  <c r="S28" i="3"/>
  <c r="V28" i="3" s="1"/>
  <c r="S29" i="3"/>
  <c r="V29" i="3" s="1"/>
  <c r="S30" i="3"/>
  <c r="V30" i="3" s="1"/>
  <c r="S31" i="3"/>
  <c r="V31" i="3" s="1"/>
  <c r="S32" i="3"/>
  <c r="V32" i="3" s="1"/>
  <c r="S33" i="3"/>
  <c r="V33" i="3" s="1"/>
  <c r="S34" i="3"/>
  <c r="V34" i="3" s="1"/>
  <c r="S35" i="3"/>
  <c r="V35" i="3" s="1"/>
  <c r="S36" i="3"/>
  <c r="V36" i="3" s="1"/>
  <c r="S37" i="3"/>
  <c r="V37" i="3" s="1"/>
  <c r="S38" i="3"/>
  <c r="V38" i="3" s="1"/>
  <c r="S198" i="3"/>
  <c r="V198" i="3" s="1"/>
  <c r="S199" i="3"/>
  <c r="V199" i="3" s="1"/>
  <c r="S200" i="3"/>
  <c r="V200" i="3" s="1"/>
  <c r="S201" i="3"/>
  <c r="V201" i="3" s="1"/>
  <c r="S202" i="3"/>
  <c r="V202" i="3" s="1"/>
  <c r="S203" i="3"/>
  <c r="V203" i="3" s="1"/>
  <c r="S204" i="3"/>
  <c r="V204" i="3" s="1"/>
  <c r="S205" i="3"/>
  <c r="V205" i="3" s="1"/>
  <c r="S206" i="3"/>
  <c r="V206" i="3" s="1"/>
  <c r="S207" i="3"/>
  <c r="V207" i="3" s="1"/>
  <c r="S208" i="3"/>
  <c r="V208" i="3" s="1"/>
  <c r="S209" i="3"/>
  <c r="V209" i="3" s="1"/>
  <c r="S210" i="3"/>
  <c r="V210" i="3" s="1"/>
  <c r="S211" i="3"/>
  <c r="V211" i="3" s="1"/>
  <c r="S212" i="3"/>
  <c r="V212" i="3" s="1"/>
  <c r="S213" i="3"/>
  <c r="V213" i="3" s="1"/>
  <c r="S214" i="3"/>
  <c r="V214" i="3" s="1"/>
  <c r="S215" i="3"/>
  <c r="V215" i="3" s="1"/>
  <c r="S367" i="3"/>
  <c r="V367" i="3" s="1"/>
  <c r="S368" i="3"/>
  <c r="V368" i="3" s="1"/>
  <c r="S370" i="3"/>
  <c r="V370" i="3" s="1"/>
  <c r="S371" i="3"/>
  <c r="V371" i="3" s="1"/>
  <c r="S372" i="3"/>
  <c r="V372" i="3" s="1"/>
  <c r="S373" i="3"/>
  <c r="V373" i="3" s="1"/>
  <c r="S374" i="3"/>
  <c r="V374" i="3" s="1"/>
  <c r="S375" i="3"/>
  <c r="V375" i="3" s="1"/>
  <c r="S376" i="3"/>
  <c r="V376" i="3" s="1"/>
  <c r="S369" i="3"/>
  <c r="V369" i="3" s="1"/>
  <c r="S377" i="3"/>
  <c r="V377" i="3" s="1"/>
  <c r="S378" i="3"/>
  <c r="V378" i="3" s="1"/>
  <c r="S379" i="3"/>
  <c r="V379" i="3" s="1"/>
  <c r="S380" i="3"/>
  <c r="V380" i="3" s="1"/>
  <c r="S381" i="3"/>
  <c r="V381" i="3" s="1"/>
  <c r="S382" i="3"/>
  <c r="V382" i="3" s="1"/>
  <c r="S383" i="3"/>
  <c r="V383" i="3" s="1"/>
  <c r="S384" i="3"/>
  <c r="V384" i="3" s="1"/>
  <c r="S385" i="3"/>
  <c r="V385" i="3" s="1"/>
  <c r="S386" i="3"/>
  <c r="V386" i="3" s="1"/>
  <c r="S387" i="3"/>
  <c r="V387" i="3" s="1"/>
  <c r="S388" i="3"/>
  <c r="V388" i="3" s="1"/>
  <c r="S389" i="3"/>
  <c r="V389" i="3" s="1"/>
  <c r="S390" i="3"/>
  <c r="V390" i="3" s="1"/>
  <c r="S62" i="3"/>
  <c r="V62" i="3" s="1"/>
  <c r="S63" i="3"/>
  <c r="V63" i="3" s="1"/>
  <c r="S64" i="3"/>
  <c r="V64" i="3" s="1"/>
  <c r="S65" i="3"/>
  <c r="V65" i="3" s="1"/>
  <c r="S66" i="3"/>
  <c r="V66" i="3" s="1"/>
  <c r="S67" i="3"/>
  <c r="V67" i="3" s="1"/>
  <c r="S68" i="3"/>
  <c r="V68" i="3" s="1"/>
  <c r="S69" i="3"/>
  <c r="V69" i="3" s="1"/>
  <c r="S70" i="3"/>
  <c r="V70" i="3" s="1"/>
  <c r="S71" i="3"/>
  <c r="V71" i="3" s="1"/>
  <c r="S72" i="3"/>
  <c r="V72" i="3" s="1"/>
  <c r="S245" i="3"/>
  <c r="V245" i="3" s="1"/>
  <c r="S246" i="3"/>
  <c r="V246" i="3" s="1"/>
  <c r="S247" i="3"/>
  <c r="V247" i="3" s="1"/>
  <c r="S248" i="3"/>
  <c r="V248" i="3" s="1"/>
  <c r="S249" i="3"/>
  <c r="V249" i="3" s="1"/>
  <c r="S250" i="3"/>
  <c r="V250" i="3" s="1"/>
  <c r="S251" i="3"/>
  <c r="V251" i="3" s="1"/>
  <c r="S252" i="3"/>
  <c r="V252" i="3" s="1"/>
  <c r="S253" i="3"/>
  <c r="V253" i="3" s="1"/>
  <c r="S254" i="3"/>
  <c r="V254" i="3" s="1"/>
  <c r="S255" i="3"/>
  <c r="V255" i="3" s="1"/>
  <c r="S256" i="3"/>
  <c r="V256" i="3" s="1"/>
  <c r="S257" i="3"/>
  <c r="V257" i="3" s="1"/>
  <c r="S258" i="3"/>
  <c r="V258" i="3" s="1"/>
  <c r="S259" i="3"/>
  <c r="V259" i="3" s="1"/>
  <c r="S401" i="3"/>
  <c r="V401" i="3" s="1"/>
  <c r="S402" i="3"/>
  <c r="V402" i="3" s="1"/>
  <c r="S403" i="3"/>
  <c r="V403" i="3" s="1"/>
  <c r="S404" i="3"/>
  <c r="V404" i="3" s="1"/>
  <c r="S405" i="3"/>
  <c r="V405" i="3" s="1"/>
  <c r="S406" i="3"/>
  <c r="V406" i="3" s="1"/>
  <c r="S407" i="3"/>
  <c r="V407" i="3" s="1"/>
  <c r="S408" i="3"/>
  <c r="V408" i="3" s="1"/>
  <c r="S409" i="3"/>
  <c r="V409" i="3" s="1"/>
  <c r="S410" i="3"/>
  <c r="V410" i="3" s="1"/>
  <c r="S411" i="3"/>
  <c r="V411" i="3" s="1"/>
  <c r="S412" i="3"/>
  <c r="V412" i="3" s="1"/>
  <c r="S413" i="3"/>
  <c r="V413" i="3" s="1"/>
  <c r="S87" i="3"/>
  <c r="V87" i="3" s="1"/>
  <c r="S278" i="3"/>
  <c r="V278" i="3" s="1"/>
  <c r="S54" i="3"/>
  <c r="V54" i="3" s="1"/>
  <c r="S55" i="3"/>
  <c r="V55" i="3" s="1"/>
  <c r="S56" i="3"/>
  <c r="V56" i="3" s="1"/>
  <c r="S238" i="3"/>
  <c r="V238" i="3" s="1"/>
  <c r="S239" i="3"/>
  <c r="V239" i="3" s="1"/>
  <c r="S240" i="3"/>
  <c r="V240" i="3" s="1"/>
  <c r="S241" i="3"/>
  <c r="V241" i="3" s="1"/>
  <c r="S395" i="3"/>
  <c r="V395" i="3" s="1"/>
  <c r="S396" i="3"/>
  <c r="V396" i="3" s="1"/>
  <c r="S397" i="3"/>
  <c r="V397" i="3" s="1"/>
  <c r="S398" i="3"/>
  <c r="V398" i="3" s="1"/>
  <c r="S399" i="3"/>
  <c r="V399" i="3" s="1"/>
  <c r="S119" i="3"/>
  <c r="V119" i="3" s="1"/>
  <c r="S121" i="3"/>
  <c r="V121" i="3" s="1"/>
  <c r="S310" i="3"/>
  <c r="V310" i="3" s="1"/>
  <c r="S311" i="3"/>
  <c r="V311" i="3" s="1"/>
  <c r="S447" i="3"/>
  <c r="V447" i="3" s="1"/>
  <c r="S448" i="3"/>
  <c r="V448" i="3" s="1"/>
  <c r="S125" i="3"/>
  <c r="V125" i="3" s="1"/>
  <c r="S451" i="3"/>
  <c r="V451" i="3" s="1"/>
  <c r="S126" i="3"/>
  <c r="V126" i="3" s="1"/>
  <c r="S127" i="3"/>
  <c r="V127" i="3" s="1"/>
  <c r="S450" i="3"/>
  <c r="V450" i="3" s="1"/>
  <c r="S129" i="3"/>
  <c r="V129" i="3" s="1"/>
  <c r="S319" i="3"/>
  <c r="V319" i="3" s="1"/>
  <c r="S453" i="3"/>
  <c r="V453" i="3" s="1"/>
  <c r="S134" i="3"/>
  <c r="S135" i="3"/>
  <c r="S137" i="3"/>
  <c r="S321" i="3"/>
  <c r="V321" i="3" s="1"/>
  <c r="S322" i="3"/>
  <c r="V322" i="3" s="1"/>
  <c r="S323" i="3"/>
  <c r="V323" i="3" s="1"/>
  <c r="S324" i="3"/>
  <c r="V324" i="3" s="1"/>
  <c r="S325" i="3"/>
  <c r="V325" i="3" s="1"/>
  <c r="S455" i="3"/>
  <c r="V455" i="3" s="1"/>
  <c r="S456" i="3"/>
  <c r="V456" i="3" s="1"/>
  <c r="S457" i="3"/>
  <c r="V457" i="3" s="1"/>
  <c r="S458" i="3"/>
  <c r="V458" i="3" s="1"/>
  <c r="S461" i="3"/>
  <c r="V461" i="3" s="1"/>
  <c r="S139" i="3"/>
  <c r="V139" i="3" s="1"/>
  <c r="S140" i="3"/>
  <c r="V140" i="3" s="1"/>
  <c r="S141" i="3"/>
  <c r="V141" i="3" s="1"/>
  <c r="S142" i="3"/>
  <c r="V142" i="3" s="1"/>
  <c r="S328" i="3"/>
  <c r="V328" i="3" s="1"/>
  <c r="S329" i="3"/>
  <c r="V329" i="3" s="1"/>
  <c r="S330" i="3"/>
  <c r="V330" i="3" s="1"/>
  <c r="S463" i="3"/>
  <c r="V463" i="3" s="1"/>
  <c r="S464" i="3"/>
  <c r="V464" i="3" s="1"/>
  <c r="S465" i="3"/>
  <c r="V465" i="3" s="1"/>
  <c r="S144" i="3"/>
  <c r="V144" i="3" s="1"/>
  <c r="S145" i="3"/>
  <c r="V145" i="3" s="1"/>
  <c r="S332" i="3"/>
  <c r="V332" i="3" s="1"/>
  <c r="S333" i="3"/>
  <c r="V333" i="3" s="1"/>
  <c r="S467" i="3"/>
  <c r="V467" i="3" s="1"/>
  <c r="S468" i="3"/>
  <c r="V468" i="3" s="1"/>
  <c r="S469" i="3"/>
  <c r="V469" i="3" s="1"/>
  <c r="S470" i="3"/>
  <c r="V470" i="3" s="1"/>
  <c r="S150" i="3"/>
  <c r="V150" i="3" s="1"/>
  <c r="S151" i="3"/>
  <c r="V151" i="3" s="1"/>
  <c r="S335" i="3"/>
  <c r="V335" i="3" s="1"/>
  <c r="S336" i="3"/>
  <c r="V336" i="3" s="1"/>
  <c r="S476" i="3"/>
  <c r="V476" i="3" s="1"/>
  <c r="S170" i="3"/>
  <c r="V170" i="3" s="1"/>
  <c r="S345" i="3"/>
  <c r="V345" i="3" s="1"/>
  <c r="S488" i="3"/>
  <c r="V488" i="3" s="1"/>
  <c r="S172" i="3"/>
  <c r="V172" i="3" s="1"/>
  <c r="S173" i="3"/>
  <c r="V173" i="3" s="1"/>
  <c r="S174" i="3"/>
  <c r="V174" i="3" s="1"/>
  <c r="S175" i="3"/>
  <c r="V175" i="3" s="1"/>
  <c r="S176" i="3"/>
  <c r="V176" i="3" s="1"/>
  <c r="S177" i="3"/>
  <c r="V177" i="3" s="1"/>
  <c r="S347" i="3"/>
  <c r="V347" i="3" s="1"/>
  <c r="S348" i="3"/>
  <c r="V348" i="3" s="1"/>
  <c r="S349" i="3"/>
  <c r="V349" i="3" s="1"/>
  <c r="S350" i="3"/>
  <c r="V350" i="3" s="1"/>
  <c r="S490" i="3"/>
  <c r="V490" i="3" s="1"/>
  <c r="S491" i="3"/>
  <c r="V491" i="3" s="1"/>
  <c r="S492" i="3"/>
  <c r="V492" i="3" s="1"/>
  <c r="S493" i="3"/>
  <c r="V493" i="3" s="1"/>
  <c r="S494" i="3"/>
  <c r="V494" i="3" s="1"/>
  <c r="S183" i="3"/>
  <c r="V183" i="3" s="1"/>
  <c r="S184" i="3"/>
  <c r="V184" i="3" s="1"/>
  <c r="S185" i="3"/>
  <c r="V185" i="3" s="1"/>
  <c r="S352" i="3"/>
  <c r="V352" i="3" s="1"/>
  <c r="S353" i="3"/>
  <c r="V353" i="3" s="1"/>
  <c r="S354" i="3"/>
  <c r="V354" i="3" s="1"/>
  <c r="S355" i="3"/>
  <c r="V355" i="3" s="1"/>
  <c r="S496" i="3"/>
  <c r="V496" i="3" s="1"/>
  <c r="S497" i="3"/>
  <c r="V497" i="3" s="1"/>
  <c r="S498" i="3"/>
  <c r="V498" i="3" s="1"/>
  <c r="S499" i="3"/>
  <c r="V499" i="3" s="1"/>
  <c r="S500" i="3"/>
  <c r="V500" i="3" s="1"/>
  <c r="S501" i="3"/>
  <c r="V501" i="3" s="1"/>
  <c r="S188" i="3"/>
  <c r="V188" i="3" s="1"/>
  <c r="S358" i="3"/>
  <c r="V358" i="3" s="1"/>
  <c r="S359" i="3"/>
  <c r="V359" i="3" s="1"/>
  <c r="S503" i="3"/>
  <c r="V503" i="3" s="1"/>
  <c r="S505" i="3"/>
  <c r="V505" i="3" s="1"/>
  <c r="S507" i="3"/>
  <c r="V507" i="3" s="1"/>
  <c r="S509" i="3"/>
  <c r="V509" i="3" s="1"/>
  <c r="S194" i="3"/>
  <c r="V194" i="3" s="1"/>
  <c r="S195" i="3"/>
  <c r="V195" i="3" s="1"/>
  <c r="S511" i="3"/>
  <c r="V511" i="3" s="1"/>
  <c r="S154" i="3"/>
  <c r="V154" i="3" s="1"/>
  <c r="S155" i="3"/>
  <c r="V155" i="3" s="1"/>
  <c r="S156" i="3"/>
  <c r="V156" i="3" s="1"/>
  <c r="S162" i="3"/>
  <c r="V162" i="3" s="1"/>
  <c r="S164" i="3"/>
  <c r="V164" i="3" s="1"/>
  <c r="S165" i="3"/>
  <c r="V165" i="3" s="1"/>
  <c r="S166" i="3"/>
  <c r="V166" i="3" s="1"/>
  <c r="S168" i="3"/>
  <c r="V168" i="3" s="1"/>
  <c r="S158" i="3"/>
  <c r="V158" i="3" s="1"/>
  <c r="S160" i="3"/>
  <c r="V160" i="3" s="1"/>
  <c r="S338" i="3"/>
  <c r="V338" i="3" s="1"/>
  <c r="S339" i="3"/>
  <c r="V339" i="3" s="1"/>
  <c r="S341" i="3"/>
  <c r="V341" i="3" s="1"/>
  <c r="S342" i="3"/>
  <c r="V342" i="3" s="1"/>
  <c r="S343" i="3"/>
  <c r="V343" i="3" s="1"/>
  <c r="S478" i="3"/>
  <c r="V478" i="3" s="1"/>
  <c r="S479" i="3"/>
  <c r="V479" i="3" s="1"/>
  <c r="S480" i="3"/>
  <c r="V480" i="3" s="1"/>
  <c r="S481" i="3"/>
  <c r="V481" i="3" s="1"/>
  <c r="S482" i="3"/>
  <c r="V482" i="3" s="1"/>
  <c r="S484" i="3"/>
  <c r="V484" i="3" s="1"/>
  <c r="S485" i="3"/>
  <c r="V485" i="3" s="1"/>
  <c r="S486" i="3"/>
  <c r="V486" i="3" s="1"/>
  <c r="S16" i="3"/>
  <c r="V16" i="3" s="1"/>
  <c r="T483" i="3"/>
  <c r="T477" i="3"/>
  <c r="T340" i="3"/>
  <c r="T337" i="3"/>
  <c r="T161" i="3"/>
  <c r="T153" i="3"/>
  <c r="T510" i="3"/>
  <c r="T193" i="3"/>
  <c r="T508" i="3"/>
  <c r="T506" i="3"/>
  <c r="T504" i="3"/>
  <c r="T502" i="3"/>
  <c r="T357" i="3"/>
  <c r="T187" i="3"/>
  <c r="T495" i="3"/>
  <c r="T351" i="3"/>
  <c r="T489" i="3"/>
  <c r="T346" i="3"/>
  <c r="T171" i="3"/>
  <c r="T487" i="3"/>
  <c r="T344" i="3"/>
  <c r="T169" i="3"/>
  <c r="T475" i="3"/>
  <c r="T334" i="3"/>
  <c r="T149" i="3"/>
  <c r="T466" i="3"/>
  <c r="T331" i="3"/>
  <c r="T143" i="3"/>
  <c r="T462" i="3"/>
  <c r="V137" i="3" l="1"/>
  <c r="U137" i="3" s="1"/>
  <c r="V135" i="3"/>
  <c r="U135" i="3" s="1"/>
  <c r="V134" i="3"/>
  <c r="U134" i="3" s="1"/>
  <c r="U133" i="3" s="1"/>
  <c r="S475" i="3"/>
  <c r="V475" i="3" s="1"/>
  <c r="S502" i="3"/>
  <c r="V502" i="3" s="1"/>
  <c r="S318" i="3"/>
  <c r="V318" i="3" s="1"/>
  <c r="S128" i="3"/>
  <c r="V128" i="3" s="1"/>
  <c r="S277" i="3"/>
  <c r="V277" i="3" s="1"/>
  <c r="S86" i="3"/>
  <c r="V86" i="3" s="1"/>
  <c r="S452" i="3"/>
  <c r="V452" i="3" s="1"/>
  <c r="S187" i="3"/>
  <c r="V187" i="3" s="1"/>
  <c r="S504" i="3"/>
  <c r="V504" i="3" s="1"/>
  <c r="S510" i="3"/>
  <c r="V510" i="3" s="1"/>
  <c r="S487" i="3"/>
  <c r="V487" i="3" s="1"/>
  <c r="S344" i="3"/>
  <c r="V344" i="3" s="1"/>
  <c r="S508" i="3"/>
  <c r="V508" i="3" s="1"/>
  <c r="S506" i="3"/>
  <c r="V506" i="3" s="1"/>
  <c r="S169" i="3"/>
  <c r="V169" i="3" s="1"/>
  <c r="P196" i="3"/>
  <c r="R196" i="3"/>
  <c r="C18" i="5" s="1"/>
  <c r="Q196" i="3"/>
  <c r="C17" i="5" s="1"/>
  <c r="S237" i="3"/>
  <c r="V237" i="3" s="1"/>
  <c r="S320" i="3"/>
  <c r="V320" i="3" s="1"/>
  <c r="S309" i="3"/>
  <c r="V309" i="3" s="1"/>
  <c r="S15" i="3"/>
  <c r="V15" i="3" s="1"/>
  <c r="S197" i="3"/>
  <c r="V197" i="3" s="1"/>
  <c r="S244" i="3"/>
  <c r="V244" i="3" s="1"/>
  <c r="S351" i="3"/>
  <c r="V351" i="3" s="1"/>
  <c r="S53" i="3"/>
  <c r="V53" i="3" s="1"/>
  <c r="S400" i="3"/>
  <c r="V400" i="3" s="1"/>
  <c r="S61" i="3"/>
  <c r="V61" i="3" s="1"/>
  <c r="S171" i="3"/>
  <c r="V171" i="3" s="1"/>
  <c r="R14" i="3"/>
  <c r="Q14" i="3"/>
  <c r="P14" i="3"/>
  <c r="R365" i="3"/>
  <c r="C25" i="5" s="1"/>
  <c r="Q365" i="3"/>
  <c r="C24" i="5" s="1"/>
  <c r="P365" i="3"/>
  <c r="S483" i="3"/>
  <c r="V483" i="3" s="1"/>
  <c r="S477" i="3"/>
  <c r="V477" i="3" s="1"/>
  <c r="S462" i="3"/>
  <c r="V462" i="3" s="1"/>
  <c r="S340" i="3"/>
  <c r="V340" i="3" s="1"/>
  <c r="S337" i="3"/>
  <c r="V337" i="3" s="1"/>
  <c r="S138" i="3"/>
  <c r="V138" i="3" s="1"/>
  <c r="S161" i="3"/>
  <c r="V161" i="3" s="1"/>
  <c r="S153" i="3"/>
  <c r="V153" i="3" s="1"/>
  <c r="S327" i="3"/>
  <c r="V327" i="3" s="1"/>
  <c r="S454" i="3"/>
  <c r="V454" i="3" s="1"/>
  <c r="S133" i="3"/>
  <c r="V133" i="3" s="1"/>
  <c r="S117" i="3"/>
  <c r="V117" i="3" s="1"/>
  <c r="S449" i="3"/>
  <c r="V449" i="3" s="1"/>
  <c r="S124" i="3"/>
  <c r="V124" i="3" s="1"/>
  <c r="S366" i="3"/>
  <c r="V366" i="3" s="1"/>
  <c r="S143" i="3"/>
  <c r="V143" i="3" s="1"/>
  <c r="S466" i="3"/>
  <c r="V466" i="3" s="1"/>
  <c r="S495" i="3"/>
  <c r="V495" i="3" s="1"/>
  <c r="S181" i="3"/>
  <c r="V181" i="3" s="1"/>
  <c r="S149" i="3"/>
  <c r="V149" i="3" s="1"/>
  <c r="U196" i="3"/>
  <c r="T365" i="3"/>
  <c r="J13" i="3"/>
  <c r="K13" i="3"/>
  <c r="T14" i="3"/>
  <c r="S331" i="3"/>
  <c r="V331" i="3" s="1"/>
  <c r="S193" i="3"/>
  <c r="V193" i="3" s="1"/>
  <c r="S346" i="3"/>
  <c r="V346" i="3" s="1"/>
  <c r="S446" i="3"/>
  <c r="V446" i="3" s="1"/>
  <c r="S334" i="3"/>
  <c r="V334" i="3" s="1"/>
  <c r="S489" i="3"/>
  <c r="V489" i="3" s="1"/>
  <c r="S357" i="3"/>
  <c r="V357" i="3" s="1"/>
  <c r="S394" i="3"/>
  <c r="V394" i="3" s="1"/>
  <c r="T327" i="3"/>
  <c r="T138" i="3"/>
  <c r="T454" i="3"/>
  <c r="T133" i="3"/>
  <c r="T452" i="3"/>
  <c r="T318" i="3"/>
  <c r="T128" i="3"/>
  <c r="T449" i="3"/>
  <c r="T124" i="3"/>
  <c r="T446" i="3"/>
  <c r="T309" i="3"/>
  <c r="T117" i="3"/>
  <c r="T394" i="3"/>
  <c r="T237" i="3"/>
  <c r="T53" i="3"/>
  <c r="T277" i="3"/>
  <c r="T86" i="3"/>
  <c r="T400" i="3"/>
  <c r="T244" i="3"/>
  <c r="T61" i="3"/>
  <c r="T366" i="3"/>
  <c r="T197" i="3"/>
  <c r="T15" i="3"/>
  <c r="C23" i="5" l="1"/>
  <c r="S14" i="3"/>
  <c r="V14" i="3" s="1"/>
  <c r="S365" i="3"/>
  <c r="C26" i="5" s="1"/>
  <c r="C16" i="5"/>
  <c r="U14" i="3"/>
  <c r="C9" i="5"/>
  <c r="C10" i="5"/>
  <c r="C11" i="5"/>
  <c r="V365" i="3" l="1"/>
  <c r="P13" i="3"/>
  <c r="Q13" i="3"/>
  <c r="R13" i="3"/>
  <c r="C12" i="5" l="1"/>
  <c r="E513" i="1"/>
  <c r="E360" i="1" l="1"/>
  <c r="E506" i="1" l="1"/>
  <c r="E507" i="1" l="1"/>
  <c r="E505" i="1"/>
  <c r="E190" i="1"/>
  <c r="E509" i="1"/>
  <c r="E511" i="1"/>
  <c r="E349" i="1" l="1"/>
  <c r="E492" i="1"/>
  <c r="Z491" i="1"/>
  <c r="Z490" i="1" s="1"/>
  <c r="Z348" i="1"/>
  <c r="Z347" i="1" s="1"/>
  <c r="Z199" i="1" s="1"/>
  <c r="Z173" i="1"/>
  <c r="Z172" i="1" s="1"/>
  <c r="E348" i="1" l="1"/>
  <c r="E173" i="1"/>
  <c r="E491" i="1"/>
  <c r="E347" i="1" l="1"/>
  <c r="E490" i="1"/>
  <c r="E172" i="1"/>
  <c r="E478" i="1" l="1"/>
  <c r="E337" i="1"/>
  <c r="E334" i="1" l="1"/>
  <c r="E321" i="1" l="1"/>
  <c r="E455" i="1"/>
  <c r="E449" i="1" l="1"/>
  <c r="E397" i="1"/>
  <c r="E90" i="1"/>
  <c r="E89" i="1" l="1"/>
  <c r="E403" i="1" l="1"/>
  <c r="E371" i="1" l="1"/>
  <c r="E373" i="1"/>
  <c r="E374" i="1"/>
  <c r="E375" i="1"/>
  <c r="E376" i="1"/>
  <c r="E377" i="1"/>
  <c r="E378" i="1"/>
  <c r="E379" i="1"/>
  <c r="E372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70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01" i="1"/>
  <c r="E20" i="1"/>
  <c r="E21" i="1"/>
  <c r="E22" i="1"/>
  <c r="E23" i="1"/>
  <c r="E24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200" i="1" l="1"/>
  <c r="E369" i="1"/>
  <c r="E281" i="1"/>
  <c r="E280" i="1" s="1"/>
  <c r="E199" i="1" l="1"/>
  <c r="E181" i="1"/>
  <c r="E174" i="1" l="1"/>
  <c r="Z19" i="1"/>
  <c r="Z18" i="1" s="1"/>
  <c r="Z17" i="1" l="1"/>
  <c r="E19" i="1"/>
  <c r="E18" i="1" s="1"/>
  <c r="E17" i="1" l="1"/>
  <c r="E368" i="1"/>
  <c r="Z368" i="1"/>
  <c r="U368" i="1"/>
  <c r="J368" i="1"/>
  <c r="V368" i="1"/>
  <c r="P368" i="1"/>
  <c r="K368" i="1"/>
  <c r="Q368" i="1"/>
  <c r="W368" i="1"/>
  <c r="R368" i="1"/>
  <c r="L368" i="1"/>
  <c r="F368" i="1"/>
  <c r="X368" i="1"/>
  <c r="G368" i="1"/>
  <c r="M368" i="1"/>
  <c r="S368" i="1"/>
  <c r="Y368" i="1"/>
  <c r="H368" i="1"/>
  <c r="N368" i="1"/>
  <c r="T368" i="1"/>
  <c r="O368" i="1"/>
  <c r="I368" i="1"/>
  <c r="AA368" i="1"/>
  <c r="I16" i="1" l="1"/>
  <c r="V16" i="1"/>
  <c r="N16" i="1"/>
  <c r="R16" i="1"/>
  <c r="K16" i="1"/>
  <c r="M16" i="1"/>
  <c r="U16" i="1"/>
  <c r="L16" i="1"/>
  <c r="Q16" i="1"/>
  <c r="Y16" i="1"/>
  <c r="G16" i="1"/>
  <c r="Z16" i="1"/>
  <c r="AA16" i="1"/>
  <c r="O16" i="1"/>
  <c r="T16" i="1"/>
  <c r="P16" i="1"/>
  <c r="S16" i="1"/>
  <c r="X16" i="1"/>
  <c r="E16" i="1"/>
  <c r="W16" i="1"/>
  <c r="H16" i="1"/>
  <c r="J16" i="1"/>
  <c r="F16" i="1"/>
  <c r="O13" i="3"/>
  <c r="T362" i="3"/>
  <c r="S363" i="3"/>
  <c r="V363" i="3" s="1"/>
  <c r="T363" i="3"/>
  <c r="S362" i="3" l="1"/>
  <c r="V362" i="3" s="1"/>
  <c r="C15" i="5"/>
  <c r="S196" i="3" l="1"/>
  <c r="V196" i="3" s="1"/>
  <c r="C19" i="5" l="1"/>
  <c r="S13" i="3"/>
  <c r="V13" i="3" s="1"/>
  <c r="U365" i="3"/>
  <c r="U13" i="3"/>
  <c r="T320" i="3" l="1"/>
  <c r="T196" i="3"/>
  <c r="I13" i="3" l="1"/>
  <c r="T1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>tc={001D009B-0090-44D8-829A-00FD0090009F}</author>
    <author>tc={002F002B-0086-4CBF-A1C2-00230065003F}</author>
    <author>tc={00070086-005C-43D7-9E90-006A00E2006E}</author>
  </authors>
  <commentList>
    <comment ref="M34" authorId="0" shapeId="0" xr:uid="{EDEDA2B4-B08A-4176-A4DD-B5A237D1B11D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57" authorId="0" shapeId="0" xr:uid="{E485850A-1772-4C31-A5D6-657089498801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СЗ.</t>
        </r>
      </text>
    </comment>
    <comment ref="O58" authorId="0" shapeId="0" xr:uid="{93329E47-B1D9-4B3D-A476-D0C2954EAEFB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СЗ.</t>
        </r>
      </text>
    </comment>
    <comment ref="N59" authorId="0" shapeId="0" xr:uid="{65849F94-0CA4-496A-B4AB-917F0FA1115E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O59" authorId="0" shapeId="0" xr:uid="{4CF8F84D-194A-4E2E-9E09-B55E134BDF8E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60" authorId="0" shapeId="0" xr:uid="{46448108-F711-4D72-B422-CBF5EACC8628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N61" authorId="0" shapeId="0" xr:uid="{8210BB0F-E80B-4707-994E-7AFC9527260D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по ПСД</t>
        </r>
      </text>
    </comment>
    <comment ref="O61" authorId="0" shapeId="0" xr:uid="{23002F42-887F-484E-B936-E991683189E1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O65" authorId="0" shapeId="0" xr:uid="{71902F2A-1F16-4677-9E19-7409471BA098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69" authorId="0" shapeId="0" xr:uid="{4100BDAB-74C3-4B8D-A461-CCBFED9AB326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73" authorId="0" shapeId="0" xr:uid="{B3080CAB-9187-4CDC-A7AE-E4ACDE0EC786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O77" authorId="0" shapeId="0" xr:uid="{819A1DB8-BCA3-41A5-BF6A-8DB673BD2AC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81" authorId="0" shapeId="0" xr:uid="{4A54D897-15E1-47BD-96F0-AC3A17EAF7C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M82" authorId="0" shapeId="0" xr:uid="{86F7FFC2-3FD0-4D44-8960-3685EA7D60C1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83" authorId="0" shapeId="0" xr:uid="{975B0794-3442-44D3-8042-4CCEA51B96C4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M84" authorId="0" shapeId="0" xr:uid="{9344382D-715B-4BEA-B08F-8460E04D939C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85" authorId="0" shapeId="0" xr:uid="{0538900B-A6F2-4A1F-A2E0-556A7010C2C3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O86" authorId="0" shapeId="0" xr:uid="{99276C23-59C5-4744-8073-B729656C1893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O87" authorId="0" shapeId="0" xr:uid="{BBA14764-D751-4DA8-88BD-33FD608198F5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88" authorId="0" shapeId="0" xr:uid="{FA034FBB-4EF2-4DBD-BB72-5083825A69BD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</t>
        </r>
      </text>
    </comment>
    <comment ref="O101" authorId="0" shapeId="0" xr:uid="{FDA11445-278F-4BAD-B0F8-13E108632F33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ПСД</t>
        </r>
      </text>
    </comment>
    <comment ref="O122" authorId="0" shapeId="0" xr:uid="{ADC18FFC-2635-41FD-B967-293CBD7C744C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N123" authorId="0" shapeId="0" xr:uid="{ACBD0D48-B7C4-4AEE-B675-2763FC91CA23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по ПСД</t>
        </r>
      </text>
    </comment>
    <comment ref="O123" authorId="0" shapeId="0" xr:uid="{AE3BD1A3-DB8E-4C36-B0C0-4D22E0BE04F2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O126" authorId="0" shapeId="0" xr:uid="{B6834281-3D15-4D53-8F9A-79664DF7FFBC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N137" authorId="0" shapeId="0" xr:uid="{AA307025-F778-4D40-AFA8-DD9AFE695529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по ПСД</t>
        </r>
      </text>
    </comment>
    <comment ref="O137" authorId="0" shapeId="0" xr:uid="{6D84CF76-8800-4DCB-82EA-EC33E0BD445D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N138" authorId="0" shapeId="0" xr:uid="{195AF118-F26B-4EBF-BA40-4C1A0C4CB409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по ПСД</t>
        </r>
      </text>
    </comment>
    <comment ref="O138" authorId="0" shapeId="0" xr:uid="{2F50CFD6-D418-4251-9FC8-CC691A376474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N140" authorId="0" shapeId="0" xr:uid="{2F7C5579-BD62-423E-962A-7ED83C590C29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по ПСД
</t>
        </r>
      </text>
    </comment>
    <comment ref="O140" authorId="0" shapeId="0" xr:uid="{2BE6A1D1-80C3-4E8C-9595-60866ADF50C5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O158" authorId="0" shapeId="0" xr:uid="{B14F5AC1-E8EA-4DF3-8FDF-88703C1766D2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159" authorId="0" shapeId="0" xr:uid="{3C8F5D9B-CDF9-4228-9752-C2F7B7DB2449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O160" authorId="0" shapeId="0" xr:uid="{4043A7C8-4D30-4509-B81A-4DCFE4B7CA7B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187" authorId="0" shapeId="0" xr:uid="{D62227A4-AD40-4BE4-BCDF-B99D80073DCB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СЗ</t>
        </r>
      </text>
    </comment>
    <comment ref="O191" authorId="0" shapeId="0" xr:uid="{896AF53F-8979-4B95-8D5E-18B5383829F2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O342" authorId="1" shapeId="0" xr:uid="{A5A49BA3-CEAC-4652-A0AD-7AFF34067692}">
      <text>
        <r>
          <rPr>
            <b/>
            <sz val="9"/>
            <rFont val="Tahoma"/>
            <family val="2"/>
            <charset val="204"/>
          </rPr>
          <t>Татьяна Николаевна Базжина:</t>
        </r>
        <r>
          <rPr>
            <sz val="9"/>
            <rFont val="Tahoma"/>
            <family val="2"/>
            <charset val="204"/>
          </rPr>
          <t xml:space="preserve">
Без замечаний.
</t>
        </r>
      </text>
    </comment>
    <comment ref="O344" authorId="2" shapeId="0" xr:uid="{C6036302-824D-4947-BCBB-5BA39D2C8197}">
      <text>
        <r>
          <rPr>
            <b/>
            <sz val="9"/>
            <rFont val="Tahoma"/>
            <family val="2"/>
            <charset val="204"/>
          </rPr>
          <t>Татьяна Николаевна Базжина:</t>
        </r>
        <r>
          <rPr>
            <sz val="9"/>
            <rFont val="Tahoma"/>
            <family val="2"/>
            <charset val="204"/>
          </rPr>
          <t xml:space="preserve">
Без замечаний.
</t>
        </r>
      </text>
    </comment>
    <comment ref="O346" authorId="3" shapeId="0" xr:uid="{BB1AE8A1-215F-4BDF-8924-7ED8EB78F369}">
      <text>
        <r>
          <rPr>
            <b/>
            <sz val="9"/>
            <rFont val="Tahoma"/>
            <family val="2"/>
            <charset val="204"/>
          </rPr>
          <t>Татьяна Николаевна Базжина:</t>
        </r>
        <r>
          <rPr>
            <sz val="9"/>
            <rFont val="Tahoma"/>
            <family val="2"/>
            <charset val="204"/>
          </rPr>
          <t xml:space="preserve">
Без замечаний.
</t>
        </r>
      </text>
    </comment>
  </commentList>
</comments>
</file>

<file path=xl/sharedStrings.xml><?xml version="1.0" encoding="utf-8"?>
<sst xmlns="http://schemas.openxmlformats.org/spreadsheetml/2006/main" count="4974" uniqueCount="786">
  <si>
    <t xml:space="preserve">к приказу Министерства жилищно-коммунального хозяйства Владимирской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</si>
  <si>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</si>
  <si>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</si>
  <si>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</si>
  <si>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</si>
  <si>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</si>
  <si>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</si>
  <si>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ч.1 ст.166 Жилищного Кодекса РФ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</si>
  <si>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</si>
  <si>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</si>
  <si>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</si>
  <si>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</si>
  <si>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</si>
  <si>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</si>
  <si>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</si>
  <si>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</si>
  <si>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</si>
  <si>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</si>
  <si>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</si>
  <si>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установка или замена по результатам поверки коллективных (общедомовых) приборов учета потребления ресурсов, необходимых для предоставления коммунальных услуг, и (или) узлов управления
 и регулирования потребления этих ресурсов (тепловой энергии, горячей и холодной воды, газа), а также установка автоматизированных информационно-измерительных систем учета потребления коммунальных ресурсов и коммунальных услуг при капитальном ремонте соответствующей внутридомовой инженерной системы</t>
  </si>
  <si>
    <t>устройство вновь выгребных ям при отсутствии централизованной системы водоотведения</t>
  </si>
  <si>
    <t>разработка и экспертиза проектной документации для видов работ по капитальному ремонту, для которых подготовка проектной документации необходима в соответствии с законодательством о градостроительной деятельности, а также подготовка предпроектного обоснования (проведение комплексного обследования технического состояния многоквартирного дома, разработка сметной документации на выполнение работ по проектированию, подготовка технического задания на проектирование мероприятий по капитальному ремонту)</t>
  </si>
  <si>
    <t>строительный контроль</t>
  </si>
  <si>
    <t>авторский надзор при выполнении работ по капитальному ремонту многоквартирных домов, имеющих статус объекта культурного наследия (памятника истории и культуры) народов Российской Федерации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</si>
  <si>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</si>
  <si>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</si>
  <si>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</si>
  <si>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</si>
  <si>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</si>
  <si>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</si>
  <si>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</si>
  <si>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</si>
  <si>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</si>
  <si>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</si>
  <si>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Владимир г, 1-я Пионерская ул, 32</t>
  </si>
  <si>
    <t>Владимир г, 1-я Пионерская ул, 80А</t>
  </si>
  <si>
    <t>Владимир г, Алябьева ул, 17</t>
  </si>
  <si>
    <t>Владимир г, Алябьева ул, 21</t>
  </si>
  <si>
    <t>Владимир г, Большая Нижегородская ул, 67в</t>
  </si>
  <si>
    <t>Владимир г, Добросельская ул, 196а</t>
  </si>
  <si>
    <t>Владимир г, Краснознаменная ул, 1</t>
  </si>
  <si>
    <t>Владимир г, Ленина пр-кт, 13</t>
  </si>
  <si>
    <t>Владимир г, Лермонтова ул, 21</t>
  </si>
  <si>
    <t>Владимир г, Луначарского ул, 24</t>
  </si>
  <si>
    <t>Владимир г, Михайловская ул, 10А</t>
  </si>
  <si>
    <t>Владимир г, Нижняя Дуброва ул, 20</t>
  </si>
  <si>
    <t>Владимир г, Оргтруд мкр, Молодежная ул, 16</t>
  </si>
  <si>
    <t>Владимир г, Оргтруд мкр, Молодежная ул, 17</t>
  </si>
  <si>
    <t>Владимир г, Перекопский военный городок, 28</t>
  </si>
  <si>
    <t>Владимир г, Северный проезд, 6</t>
  </si>
  <si>
    <t>Владимир г, Соколова-Соколенка ул, 25</t>
  </si>
  <si>
    <t>Владимир г, Суворова ул, 3</t>
  </si>
  <si>
    <t>Владимир г, Суздальский пр-кт, 2</t>
  </si>
  <si>
    <t>Владимир г, Суздальский пр-кт, 27</t>
  </si>
  <si>
    <t>Владимир г, Судогодское ш, 23г</t>
  </si>
  <si>
    <t>Владимир г, Труда ул, 20</t>
  </si>
  <si>
    <t>Владимир г, Чайковского ул, 2</t>
  </si>
  <si>
    <t>Владимир г, Юрьевец мкр, Ноябрьская ул, 3А</t>
  </si>
  <si>
    <t>Владимир г, 1-я Пионерская ул, 59</t>
  </si>
  <si>
    <t>Владимир г, 850-летия ул, 7</t>
  </si>
  <si>
    <t>Владимир г, Асаткина ул, 3/8</t>
  </si>
  <si>
    <t>Владимир г, Асаткина ул, 31</t>
  </si>
  <si>
    <t>Владимир г, Асаткина ул, 34</t>
  </si>
  <si>
    <t>Владимир г, Василисина ул, 15</t>
  </si>
  <si>
    <t>Владимир г, Большая Московская ул, 90а</t>
  </si>
  <si>
    <t>Владимир г, Большая Нижегородская ул, 95</t>
  </si>
  <si>
    <t>Владимир г, Верхняя Дуброва ул, 37</t>
  </si>
  <si>
    <t>Владимир г, Добросельская ул, 209</t>
  </si>
  <si>
    <t>Владимир г, Заклязьменский п, Зеленая ул, 14</t>
  </si>
  <si>
    <t>Владимир г, Кирова ул, 8А</t>
  </si>
  <si>
    <t>Владимир г, Коммунар мкр, Центральная ул, 13</t>
  </si>
  <si>
    <t>Владимир г, Ленина пр-кт, 28</t>
  </si>
  <si>
    <t>Владимир г, Ленина пр-кт, 71</t>
  </si>
  <si>
    <t>Владимир г, Мира ул, 34А</t>
  </si>
  <si>
    <t>Владимир г, Разина ул, 12</t>
  </si>
  <si>
    <t>Владимир г, Северная ул, 14</t>
  </si>
  <si>
    <t>Владимир г, Совхоз Вышка ул, 12</t>
  </si>
  <si>
    <t>Владимир г, Соколова-Соколенка ул, 6</t>
  </si>
  <si>
    <t>Владимир г, Соколова-Соколенка ул, 7а</t>
  </si>
  <si>
    <t>Владимир г, Студенческая ул, 1А</t>
  </si>
  <si>
    <t>Владимир г, Стасова ул, 22</t>
  </si>
  <si>
    <t>Владимир г, Сурикова ул, 1</t>
  </si>
  <si>
    <t>Владимир г, Чайковского ул, 13/1</t>
  </si>
  <si>
    <t>Владимир г, Юбилейная ул, 14</t>
  </si>
  <si>
    <t>Владимир г, Алябьева ул, 19а</t>
  </si>
  <si>
    <t>Владимир г, Асаткина ул, 4/6</t>
  </si>
  <si>
    <t>Владимир г, Балакирева ул, 55</t>
  </si>
  <si>
    <t>Владимир г, Безыменского ул, 7</t>
  </si>
  <si>
    <t>Владимир г, Безыменского ул, 14</t>
  </si>
  <si>
    <t>Владимир г, Диктора Левитана ул, 49</t>
  </si>
  <si>
    <t>Владимир г, Добросельская ул, 215</t>
  </si>
  <si>
    <t>Владимир г, Завадского ул, 9А</t>
  </si>
  <si>
    <t>Владимир г, Заклязьменский п, Новая ул, 3</t>
  </si>
  <si>
    <t>Владимир г, Заклязьменский п, Зеленая ул, 2</t>
  </si>
  <si>
    <t>Владимир г, Зеленая ул, 3</t>
  </si>
  <si>
    <t>Владимир г, Коммунар мкр, Песочная ул, 15</t>
  </si>
  <si>
    <t>Владимир г, Асаткина ул, 13</t>
  </si>
  <si>
    <t>Владимир г, Ленина пр-кт, 62</t>
  </si>
  <si>
    <t>Владимир г, Ленина пр-кт, 67А</t>
  </si>
  <si>
    <t>Владимир г, Луначарского ул, 19</t>
  </si>
  <si>
    <t>Владимир г, Мира ул, 70</t>
  </si>
  <si>
    <t>Владимир г, Нижняя Дуброва ул, 24</t>
  </si>
  <si>
    <t>Владимир г, Ново-Ямская ул, 6</t>
  </si>
  <si>
    <t>Владимир г, Ново-Ямская ул, 21</t>
  </si>
  <si>
    <t>Владимир г, Строителей пр-кт, 16Б</t>
  </si>
  <si>
    <t>Владимир г, Строителей пр-кт, 26А</t>
  </si>
  <si>
    <t>Владимир г, Суздальская ул, 8</t>
  </si>
  <si>
    <t>Владимир г, Суздальский пр-кт, 15а</t>
  </si>
  <si>
    <t>Владимир г, Суздальский пр-кт, 26А</t>
  </si>
  <si>
    <t>Владимир г, Чехова ул, 4</t>
  </si>
  <si>
    <t>Владимир г, Энергетик мкр, Совхозная ул, 3</t>
  </si>
  <si>
    <t>Владимир г, Юрьевец мкр, Ноябрьская ул, 8</t>
  </si>
  <si>
    <t>Владимир г, Юрьевец мкр, Институтский городок, 10</t>
  </si>
  <si>
    <t>город Владимир</t>
  </si>
  <si>
    <t>Ковров г, Свердлова ул, 82</t>
  </si>
  <si>
    <t>Ковров г, Лизы Чайкиной ул, 32</t>
  </si>
  <si>
    <t>Ковров г, Дорожная ул, 12</t>
  </si>
  <si>
    <t>Ковров г, Муромская ул, 5/1</t>
  </si>
  <si>
    <t>Ковров г, Свердлова ул, 83а</t>
  </si>
  <si>
    <t>Ковров г, Абельмана ул, 132</t>
  </si>
  <si>
    <t>Ковров г, Свердлова ул, 92</t>
  </si>
  <si>
    <t>Ковров г, Ленина пр-кт, 12</t>
  </si>
  <si>
    <t>Ковров г, Гагарина ул, 10а</t>
  </si>
  <si>
    <t>Ковров г, Транспортная ул, 79</t>
  </si>
  <si>
    <t>Ковров г, Летняя ул, 45</t>
  </si>
  <si>
    <t>Ковров г, Долинная 1-я ул, 14</t>
  </si>
  <si>
    <t>Ковров г, Ленина пр-кт, 20</t>
  </si>
  <si>
    <t>Ковров г, Пролетарская ул, 42</t>
  </si>
  <si>
    <t>Ковров г, Текстильная ул, 2в</t>
  </si>
  <si>
    <t>Ковров г, Федорова ул, 91/1</t>
  </si>
  <si>
    <t>Ковров г, Клязьменская ул, 10</t>
  </si>
  <si>
    <t>Ковров г, Сосновая ул, 41</t>
  </si>
  <si>
    <t>Ковров г, Социалистическая ул, 4б</t>
  </si>
  <si>
    <t>Ковров г, Чернышевского ул, 13</t>
  </si>
  <si>
    <t>Ковров г, Лопатина ул, 21</t>
  </si>
  <si>
    <t>Ковров г, Циолковского ул, 35</t>
  </si>
  <si>
    <t>Ковров г, Сосновая ул, 20</t>
  </si>
  <si>
    <t>Ковров г, Солнечная ул, 2</t>
  </si>
  <si>
    <t>Ковров г, Васильева ул, 11</t>
  </si>
  <si>
    <t>Ковров г, Советская ул, 3</t>
  </si>
  <si>
    <t>Ковров г, Лопатина ул, 50</t>
  </si>
  <si>
    <t>Ковров г, Олега Кошевого ул, 10</t>
  </si>
  <si>
    <t>Ковров г, Фрунзе ул, 6</t>
  </si>
  <si>
    <t>Ковров г, Волго-Донская ул, 8/2</t>
  </si>
  <si>
    <t>Ковров г, Чернышевского ул, 5</t>
  </si>
  <si>
    <t>Ковров г, Ленина пр-кт, 61</t>
  </si>
  <si>
    <t>Ковров г, Туманова ул, 11</t>
  </si>
  <si>
    <t>Ковров г, Туманова ул, 2а</t>
  </si>
  <si>
    <t>Ковров г, Молодогвардейская ул, 7</t>
  </si>
  <si>
    <t>Ковров г, Моховая ул, 6</t>
  </si>
  <si>
    <t>Ковров г, Ленина пр-кт, 18</t>
  </si>
  <si>
    <t>Ковров г, Либерецкая ул, 2</t>
  </si>
  <si>
    <t>город Ковров</t>
  </si>
  <si>
    <t>Радужный г, 3-й кв-л, 14</t>
  </si>
  <si>
    <t>Радужный г, 1-й кв-л, 18</t>
  </si>
  <si>
    <t>Радужный г, 3-й кв-л, 28</t>
  </si>
  <si>
    <t>Гусь-Хрустальный г, Владимирская ул, 3а</t>
  </si>
  <si>
    <t>Гусь-Хрустальный г, Мира ул, 12</t>
  </si>
  <si>
    <t>Гусь-Хрустальный г, Мира ул, 22</t>
  </si>
  <si>
    <t>Гусь-Хрустальный г, Каховского ул, 4</t>
  </si>
  <si>
    <t>Гусь-Хрустальный г, Микрорайон ул, 18</t>
  </si>
  <si>
    <t>Гусь-Хрустальный г, Набережная ул, 103</t>
  </si>
  <si>
    <t>Гусь-Хрустальный г, Октябрьская ул, 25а</t>
  </si>
  <si>
    <t>Гусь-Хрустальный г, Карла Либкнехта ул, 3а</t>
  </si>
  <si>
    <t>Гусь-Хрустальный г, Осьмова ул, 14</t>
  </si>
  <si>
    <t>Гусь-Хрустальный г, Осьмова ул, 18</t>
  </si>
  <si>
    <t>Гусь-Хрустальный г, Гусевский п, Садовая ул, 4</t>
  </si>
  <si>
    <t>Гусь-Хрустальный г, Старых Большевиков ул, 28</t>
  </si>
  <si>
    <t>город Гусь-Хрустальный</t>
  </si>
  <si>
    <t>Гороховецкий р-н, Галицы п, Пролетарская ул, 38</t>
  </si>
  <si>
    <t>Гороховецкий р-н, Чулково п, Производственная ул, 5</t>
  </si>
  <si>
    <t>Гороховец г, Полевая ул, 43</t>
  </si>
  <si>
    <t>Гороховец г, Горького ул, 29</t>
  </si>
  <si>
    <t>Гороховец г, Полевая ул, 6</t>
  </si>
  <si>
    <t>Гороховец г, Мира ул, 14</t>
  </si>
  <si>
    <t>Гусь-Хрустальный р-н, Красное Эхо п, Зеленая ул, 18</t>
  </si>
  <si>
    <t>Гусь-Хрустальный р-н, Мезиновский п, Фрезерная ул, 22</t>
  </si>
  <si>
    <t>Гусь-Хрустальный р-н, Тасинский п, Новая ул, 1а</t>
  </si>
  <si>
    <t>Гусь-Хрустальный р-н, Добрятино п, Ленина ул, 2</t>
  </si>
  <si>
    <t>Гусь-Хрустальный р-н, Курлово г, Центральная ул, 11</t>
  </si>
  <si>
    <t>Гусь-Хрустальный р-н, Вашутино д, Центральная ул, 14</t>
  </si>
  <si>
    <t>Камешковский р-н, Новки п, Чапаева ул, 12</t>
  </si>
  <si>
    <t>Камешковский р-н, Лубенцы д, 68</t>
  </si>
  <si>
    <t>Киржач г, Красный Октябрь мкр, Солнечный кв-л, 6</t>
  </si>
  <si>
    <t>Киржач г, 40 лет Октября ул, 38</t>
  </si>
  <si>
    <t>Киржачский р-н, Федоровское д, Советская ул, 2</t>
  </si>
  <si>
    <t>Киржач г, Красный Октябрь мкр, Солнечный кв-л, 7</t>
  </si>
  <si>
    <t>Киржач г, Красный Октябрь мкр, Пушкина ул, 30</t>
  </si>
  <si>
    <t>Киржач г, Магистральная ул, 8</t>
  </si>
  <si>
    <t>Киржач г, Красный Октябрь мкр, Пушкина ул, 27а</t>
  </si>
  <si>
    <t>Киржачский р-н, Ельцы д, Молодежная ул, 1</t>
  </si>
  <si>
    <t>Киржач г, Красный Октябрь мкр, Солнечный кв-л, 8а</t>
  </si>
  <si>
    <t>Киржач г, Красный Октябрь мкр, Южный кв-л, 9</t>
  </si>
  <si>
    <t>Киржач г, Совхозная ул, 4</t>
  </si>
  <si>
    <t>Киржач г, Прибрежный кв-л, 7</t>
  </si>
  <si>
    <t>Киржач г, 50 лет Октября ул, 10</t>
  </si>
  <si>
    <t>Киржачский р-н, Ельцы д, Молодежная ул, 2</t>
  </si>
  <si>
    <t>Киржачский р-н, Кашино д, Кашино п. тер, 29</t>
  </si>
  <si>
    <t>Ковровский р-н, Мелехово п, Советская ул, 7</t>
  </si>
  <si>
    <t>Ковровский р-н, Мелехово п, Гагарина ул, 17</t>
  </si>
  <si>
    <t>Ковровский р-н, Гигант п, Юбилейная ул, 65</t>
  </si>
  <si>
    <t>Ковровский р-н, Мелехово п, Комарова ул, 10</t>
  </si>
  <si>
    <t>Ковровский р-н, Первомайский п, 12</t>
  </si>
  <si>
    <t>Ковровский р-н, Старая д, Совхозная ул, 25</t>
  </si>
  <si>
    <t>Ковровский р-н, Мелехово п, Юбилейная ул, 6</t>
  </si>
  <si>
    <t>Ковровский р-н, Ручей д, Центральная ул, 5</t>
  </si>
  <si>
    <t>Ковровский р-н, Первомайский п, 9</t>
  </si>
  <si>
    <t>Итого по город Кольчугино</t>
  </si>
  <si>
    <t>Кольчугино г, КИМ ул, 10</t>
  </si>
  <si>
    <t>Кольчугино г, Щорса ул, 8</t>
  </si>
  <si>
    <t>Кольчугино г, Белая Речка мкр, Школьная ул, 13</t>
  </si>
  <si>
    <t>Кольчугино г, Папанинцев ул, 1</t>
  </si>
  <si>
    <t>Кольчугинский р-н, Бавлены п, Центральная ул, 8</t>
  </si>
  <si>
    <t>Кольчугинский р-н, Большевик п, Школьный пер, 4</t>
  </si>
  <si>
    <t>Кольчугинский р-н, Металлист п, Центральная ул, 4</t>
  </si>
  <si>
    <t>Кольчугинский р-н, Вишневый п, Вторая ул, 3</t>
  </si>
  <si>
    <t>Меленки г, Кирова ул, 44 корп. 2</t>
  </si>
  <si>
    <t>Меленковский р-н, Ляхи с, Советская ул, 145</t>
  </si>
  <si>
    <t>Меленковский р-н, Тургенево д, Совхозная ул, 1</t>
  </si>
  <si>
    <t>Меленковский р-н, Бутылицы с, Садовая ул, 5</t>
  </si>
  <si>
    <t>Меленки г, Дзержинского ул, 46а</t>
  </si>
  <si>
    <t>Итого по Меленковский муниципальный округ</t>
  </si>
  <si>
    <t>Меленковский муниципальный округ</t>
  </si>
  <si>
    <t>Селивановский р-н, Красная Горбатка п, Комсомольская ул, 76</t>
  </si>
  <si>
    <t>Селивановский р-н, Красная Горбатка п, Механизаторов ул, 22</t>
  </si>
  <si>
    <t>Селивановский р-н, Новлянка п, Парковая ул, 12</t>
  </si>
  <si>
    <t>Собинский р-н, Асерхово п, Рабочая ул, 14</t>
  </si>
  <si>
    <t>Собинский р-н, Ставрово п, Октябрьская ул, 5</t>
  </si>
  <si>
    <t>Собинский р-н, Ставрово п, Совхозная ул, 6</t>
  </si>
  <si>
    <t>Собинский р-н, Ставрово п, Советская ул, 41</t>
  </si>
  <si>
    <t>Собинский р-н, Ставрово п, Советская ул, 47</t>
  </si>
  <si>
    <t>Собинский р-н, Ставрово п, Садовая ул, 4</t>
  </si>
  <si>
    <t>Собинский р-н, Лакинск г, Горького ул, 10</t>
  </si>
  <si>
    <t>Собинка г, Гагарина ул, 3</t>
  </si>
  <si>
    <t>Собинка г, Родниковская ул, 23</t>
  </si>
  <si>
    <t>Собинский р-н, Черкутино с, Мира ул, 15</t>
  </si>
  <si>
    <t>Собинский р-н, Лакинск г, Текстильщиков ул, 11</t>
  </si>
  <si>
    <t>Собинский р-н, Лакинск г, 21 Партсъезда ул, 3</t>
  </si>
  <si>
    <t>Собинка г, Гагарина ул, 14</t>
  </si>
  <si>
    <t>Собинка г, Гагарина ул, 26</t>
  </si>
  <si>
    <t>Собинский р-н, Ермонино д, Советская ул, 10</t>
  </si>
  <si>
    <t>Итого по Собинский муниципальный округ</t>
  </si>
  <si>
    <t>Собинский муниципальный округ</t>
  </si>
  <si>
    <t>Судогодский р-н, Ильино д, Молодежная ул, 1</t>
  </si>
  <si>
    <t>Судогодский р-н, Мошок с, Заводская ул, 24</t>
  </si>
  <si>
    <t>Судогодский р-н, Муромцево п, Шкурина ул, 3</t>
  </si>
  <si>
    <t>Судогда г, Чапаева ул, 12</t>
  </si>
  <si>
    <t>Судогодский р-н, Чамерево с, Первомайская ул, 3</t>
  </si>
  <si>
    <t>Судогодский р-н, им Воровского п, Спортивная ул, 5</t>
  </si>
  <si>
    <t>Судогодский р-н, им Воровского п, Спортивная ул, 13</t>
  </si>
  <si>
    <t>Судогда г, Коммунистическая ул, 4а</t>
  </si>
  <si>
    <t>Судогодский р-н, Андреево п, Коммунистическая ул, 2</t>
  </si>
  <si>
    <t>Судогодский р-н, Ликино с, Лесная ул, 7</t>
  </si>
  <si>
    <t>Судогодский р-н, Тюрмеровка п, Краснознаменная ул, 14а</t>
  </si>
  <si>
    <t>Судогодский р-н, Головино п, Радужная ул, 3</t>
  </si>
  <si>
    <t>Судогодский р-н, Муромцево п, Шкурина ул, 12</t>
  </si>
  <si>
    <t>Суздальский р-н, Красногвардейский п, Октябрьская ул, 12</t>
  </si>
  <si>
    <t>Суздаль г, Всполье б-р, 2</t>
  </si>
  <si>
    <t>Суздаль г, Всполье б-р, 5</t>
  </si>
  <si>
    <t>Суздальский р-н, Старый Двор с, Нагорная ул, 4</t>
  </si>
  <si>
    <t>Суздальский р-н, Красногвардейский п, Октябрьская ул, 6</t>
  </si>
  <si>
    <t>Суздальский р-н, Садовый п, Центральная ул, 2а</t>
  </si>
  <si>
    <t>Суздальский р-н, Сокол п, 2</t>
  </si>
  <si>
    <t>Итого по Селецкое</t>
  </si>
  <si>
    <t>Итого по город Суздаль</t>
  </si>
  <si>
    <t>Итого по Новоалександровское</t>
  </si>
  <si>
    <t>Итого по Павловское</t>
  </si>
  <si>
    <t>Итого по Боголюбовское</t>
  </si>
  <si>
    <t>Юрьев-Польский г, Шибанкова ул, 91</t>
  </si>
  <si>
    <t>Юрьев-Польский г, Промышленный пер, 11</t>
  </si>
  <si>
    <t>Юрьев-Польский г, Революции ул, 12</t>
  </si>
  <si>
    <t>Юрьев-Польский г, Авангардский пер, 22</t>
  </si>
  <si>
    <t>Петушинский р-н, Нагорный п, Владимирская ул, 4</t>
  </si>
  <si>
    <t>Петушинский р-н, Покров г, 3 Интернационала ул, 105</t>
  </si>
  <si>
    <t>Петушинский р-н, Покров г, 3 Интернационала ул, 99</t>
  </si>
  <si>
    <t>Петушинский р-н, Костерево г, Комсомольская ул, 1</t>
  </si>
  <si>
    <t>Петушки г, Заводская ул, 10</t>
  </si>
  <si>
    <t>Петушки г, Московская ул, 38</t>
  </si>
  <si>
    <t>Петушинский р-н, Воспушка д, Ленина ул, 5</t>
  </si>
  <si>
    <t>Петушинский р-н, Андреевское с, 11</t>
  </si>
  <si>
    <t>Петушинский р-н, Вольгинский п, Новосеменковская ул, 8</t>
  </si>
  <si>
    <t>Петушинский р-н, Городищи п, Ленина ул, 8</t>
  </si>
  <si>
    <t>Петушинский р-н, Вольгинский п, Старовская ул, 4</t>
  </si>
  <si>
    <t>Петушинский р-н, Покров г, К.Либкнехта ул, 4</t>
  </si>
  <si>
    <t>Петушинский р-н, Костерево г, им Серебренникова ул, 37</t>
  </si>
  <si>
    <t>Петушки г, Московская ул, 16</t>
  </si>
  <si>
    <t>Петушки г, Советская пл, 2</t>
  </si>
  <si>
    <t>Петушинский р-н, Санинского ДОКа п, Клубная ул, 10</t>
  </si>
  <si>
    <t>Петушинский р-н, Покров г, Октябрьская ул, 113а</t>
  </si>
  <si>
    <t>Петушинский р-н, Покров г, 3 Интернационала ул, 73</t>
  </si>
  <si>
    <t>Петушинский р-н, Покров г, 3 Интернационала ул, 70</t>
  </si>
  <si>
    <t>Петушинский р-н, Покров г, Октябрьская ул, 64</t>
  </si>
  <si>
    <t>Петушинский р-н, Костерево г, 40 лет Октября ул, 16</t>
  </si>
  <si>
    <t>Петушки г, Строителей ул, 6</t>
  </si>
  <si>
    <t>Петушинский р-н, Липна д, Дачная ул, 2</t>
  </si>
  <si>
    <t>Таблица №1</t>
  </si>
  <si>
    <t>Адрес многоквартирного дома 
(далее - МКД)</t>
  </si>
  <si>
    <t>Наличие статуса ОКН</t>
  </si>
  <si>
    <t>Год ввода в эксплуатацию</t>
  </si>
  <si>
    <t>Материал стен</t>
  </si>
  <si>
    <t>Количество этажей</t>
  </si>
  <si>
    <t>Количество подъездов</t>
  </si>
  <si>
    <t>Общая площадь МКД (с МОП), всего</t>
  </si>
  <si>
    <t>Площадь помещений в МКД (жилых и нежилых, без МОП), всего</t>
  </si>
  <si>
    <t>Количество жителей, зарегистрированных в МКД на дату утверждения краткосрочного плана</t>
  </si>
  <si>
    <t>Способ формирования фонда капитального ремонта (РО - счет регионального оператора, СС -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</si>
  <si>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</si>
  <si>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</si>
  <si>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</si>
  <si>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</si>
  <si>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</si>
  <si>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всего:</t>
  </si>
  <si>
    <t>за счет средств бюджета субъекта Российской Федерации</t>
  </si>
  <si>
    <t>за счет средств местного бюджета</t>
  </si>
  <si>
    <t>за счет средств федерального бюджета (в т.ч. Полученные от ППК "Фонд развития территорий")</t>
  </si>
  <si>
    <t>чел.</t>
  </si>
  <si>
    <t>руб./кв.м</t>
  </si>
  <si>
    <t>1</t>
  </si>
  <si>
    <t>Деревянные</t>
  </si>
  <si>
    <t>2</t>
  </si>
  <si>
    <t>8</t>
  </si>
  <si>
    <t>4</t>
  </si>
  <si>
    <t>Александров г, Ануфриева ул, 5</t>
  </si>
  <si>
    <t>6</t>
  </si>
  <si>
    <t>Александров г, Гагарина ул, 13 корп. 2</t>
  </si>
  <si>
    <t>Александров г, Гагарина ул, 13 корп. 3</t>
  </si>
  <si>
    <t>3</t>
  </si>
  <si>
    <t>Александров г, Геологов ул, 2</t>
  </si>
  <si>
    <t>Александров г, Горького ул, 3</t>
  </si>
  <si>
    <t>Александров г, Горького ул, 9</t>
  </si>
  <si>
    <t>9</t>
  </si>
  <si>
    <t>Александров г, Калининская ул, 52</t>
  </si>
  <si>
    <t>Александров г, Кооперативная ул, 4</t>
  </si>
  <si>
    <t>Александров г, Королева ул, 11</t>
  </si>
  <si>
    <t>5</t>
  </si>
  <si>
    <t>Александров г, Красный Переулок ул, 21 корп. 2</t>
  </si>
  <si>
    <t>Александров г, Революции ул, 4</t>
  </si>
  <si>
    <t>Александров г, Совхоз "Правда" ул, 28</t>
  </si>
  <si>
    <t>Александров г, Терешковой ул, 11</t>
  </si>
  <si>
    <t>Александров г, Терешковой ул, 11 корп. 3</t>
  </si>
  <si>
    <t>Александров г, Терешковой ул, 15 корп. 2</t>
  </si>
  <si>
    <t>Александров г, Терешковой ул, 4 корп. 2</t>
  </si>
  <si>
    <t>Александров г, Терешковой ул, 4 корп. 3</t>
  </si>
  <si>
    <t>Александров г, Терешковой ул, 8 корп. 1</t>
  </si>
  <si>
    <t>Александров г, Терешковой ул, 9</t>
  </si>
  <si>
    <t>Александров г, Ческа-Липа ул, 9</t>
  </si>
  <si>
    <t>Александров г, Энтузиастов ул, 17</t>
  </si>
  <si>
    <t>Александров г, Юбилейная ул, 2 корп. 3</t>
  </si>
  <si>
    <t>Александровский р-н, Балакирево п, 60 лет Октября ул, 3</t>
  </si>
  <si>
    <t>Александровский р-н, Балакирево п, 60 лет Октября ул, 4</t>
  </si>
  <si>
    <t>Александровский р-н, Балакирево п, Заводская ул, 1</t>
  </si>
  <si>
    <t>Александровский р-н, Балакирево п, Совхозная ул, 1</t>
  </si>
  <si>
    <t>Александровский р-н, Годуново с, Центральная ул, 2</t>
  </si>
  <si>
    <t>Александровский р-н, Карабаново г, Железнодорожный туп, 11</t>
  </si>
  <si>
    <t>Александровский р-н, Карабаново г, Маяковского ул, 7</t>
  </si>
  <si>
    <t>Александровский р-н, Карабаново г, Маяковского ул, 8</t>
  </si>
  <si>
    <t>10</t>
  </si>
  <si>
    <t>Александровский р-н, Лобково д, Кирпичная ул, 4</t>
  </si>
  <si>
    <t>Александровский р-н, Марино д, Деревенская ул, 33</t>
  </si>
  <si>
    <t>Александровский р-н, Струнино г, Больничный проезд, 10</t>
  </si>
  <si>
    <t>Александровский р-н, Струнино г, Дзержинского ул, 7</t>
  </si>
  <si>
    <t>Александровский р-н, Струнино г, Дзержинского ул, 9</t>
  </si>
  <si>
    <t>Александровский р-н, Струнино г, Дубки кв-л, 15</t>
  </si>
  <si>
    <t>Александровский р-н, Струнино г, Заречная ул, 32</t>
  </si>
  <si>
    <t>Александровский р-н, Струнино г, Кирова пл, 9</t>
  </si>
  <si>
    <t>Вязники г, Горького ул, 102</t>
  </si>
  <si>
    <t>Вязники г, Металлистов ул, 17</t>
  </si>
  <si>
    <t>Каркаснозасыпной</t>
  </si>
  <si>
    <t>Вязники г, Чехова ул, 17а</t>
  </si>
  <si>
    <t>Вязниковский р-н, Мстёра п, Мира ул, 5</t>
  </si>
  <si>
    <t>Вязниковский р-н, Мстёра п, Профсоюзная ул, 2</t>
  </si>
  <si>
    <t>Вязниковский р-н, Никологоры п, Е.Игошина ул, 12а</t>
  </si>
  <si>
    <t>Вязниковский р-н, Никологоры п, Солнечная ул, 10</t>
  </si>
  <si>
    <t>Вязниковский р-н, Пировы-Городищи д, Молодежная ул, 3</t>
  </si>
  <si>
    <t>Вязниковский р-н, Пировы-Городищи д, Молодежная ул, 4</t>
  </si>
  <si>
    <t>Вязниковский р-н, Сарыево с, Школьная ул, 23</t>
  </si>
  <si>
    <t>Вязниковский р-н, Сергеево д, Ткацкая ул, 22</t>
  </si>
  <si>
    <t>Вязниковский р-н, Серково д, Новая ул, 3</t>
  </si>
  <si>
    <t>Вязниковский р-н, Степанцево п, Ленина ул, 10</t>
  </si>
  <si>
    <t>Вязниковский р-н, Чудиново д, Зеленый пер, 3</t>
  </si>
  <si>
    <t>Вязниковский р-н, Чудиново д, Полевая ул, 32</t>
  </si>
  <si>
    <t>Гусь-Хрустальный р-н, Великодворский п, Пролетарская ул, 14</t>
  </si>
  <si>
    <t>Муром г, Артема ул, 2</t>
  </si>
  <si>
    <t>Муром г, Вокзальная ул, 3</t>
  </si>
  <si>
    <t>Муром г, Комсомольская ул, 56а</t>
  </si>
  <si>
    <t>Муром г, Куликова ул, 9</t>
  </si>
  <si>
    <t>Муром г, Ленинградская ул, 17</t>
  </si>
  <si>
    <t>Муром г, Ленинградская ул, 34/2</t>
  </si>
  <si>
    <t>Муром г, Льва Толстого ул, 95</t>
  </si>
  <si>
    <t>Муром г, Мечникова ул, 55</t>
  </si>
  <si>
    <t>Муром г, Мечникова ул, 58</t>
  </si>
  <si>
    <t>Муром г, Мичуринская ул, 31</t>
  </si>
  <si>
    <t>Муром г, Московская ул, 103</t>
  </si>
  <si>
    <t>Муром г, Московская ул, 108</t>
  </si>
  <si>
    <t>Муром г, Московская ул, 45</t>
  </si>
  <si>
    <t>Муром г, Муромская ул, 10</t>
  </si>
  <si>
    <t>Муром г, Муромская ул, 4</t>
  </si>
  <si>
    <t>Муром г, Орловская ул, 14</t>
  </si>
  <si>
    <t>Муром г, Орловская ул, 25а</t>
  </si>
  <si>
    <t>Муром г, Первомайская ул, 22</t>
  </si>
  <si>
    <t>Муром г, Пролетарская ул, 59</t>
  </si>
  <si>
    <t>Муром г, Радиозаводское ш, 14</t>
  </si>
  <si>
    <t>Муром г, Свердлова ул, 12</t>
  </si>
  <si>
    <t>Муром г, Филатова ул, 5</t>
  </si>
  <si>
    <t>Муром г, Филатова ул, 7</t>
  </si>
  <si>
    <t>Муром г, Чкалова ул, 20</t>
  </si>
  <si>
    <t>Муром г, Экземплярского ул, 92</t>
  </si>
  <si>
    <t>Муром г, Энгельса ул, 25</t>
  </si>
  <si>
    <t>Муромский р-н, Волнино д, Луговая ул, 1</t>
  </si>
  <si>
    <t>Муромский р-н, Зимёнки п, Красногорбатовская ул, 5</t>
  </si>
  <si>
    <t>Муромский р-н, Механизаторов п, 63</t>
  </si>
  <si>
    <t>Муромский р-н, Муромский п, Центральная ул, 34</t>
  </si>
  <si>
    <t>Суздаль г, Васильевская ул, 17</t>
  </si>
  <si>
    <t>Итого по город Владимир</t>
  </si>
  <si>
    <t>Итого по город Ковров</t>
  </si>
  <si>
    <t>Итого по ЗАТО город Радужный</t>
  </si>
  <si>
    <t>Итого по город Гусь-Хрустальный</t>
  </si>
  <si>
    <t>РО</t>
  </si>
  <si>
    <t>за счет средств собственников помещений в МКД</t>
  </si>
  <si>
    <t>Кирпичные</t>
  </si>
  <si>
    <t>Ж/б панели</t>
  </si>
  <si>
    <t>ОКН</t>
  </si>
  <si>
    <t>X</t>
  </si>
  <si>
    <t>УК</t>
  </si>
  <si>
    <t>НУ</t>
  </si>
  <si>
    <t>-</t>
  </si>
  <si>
    <t>ТСЖ</t>
  </si>
  <si>
    <t>ООО УК "УПРАВДОМ"</t>
  </si>
  <si>
    <t>ООО "УК "ВЕСТА"</t>
  </si>
  <si>
    <t>ООО "УК "КТС"</t>
  </si>
  <si>
    <t>ООО "УК "ЖКО РОСКО"</t>
  </si>
  <si>
    <t>ООО "ЖЭЦ-УПРАВЛЕНИЕ"</t>
  </si>
  <si>
    <t>ООО "УМД КОНТИНЕНТ"</t>
  </si>
  <si>
    <t>ООО "КОМСЕРВИС +"</t>
  </si>
  <si>
    <t>ООО "НАШЕ ЖКО"</t>
  </si>
  <si>
    <t>ООО УК "АТМОСФЕРА"</t>
  </si>
  <si>
    <t>ООО "ЖКХ-Радужный"</t>
  </si>
  <si>
    <t>ООО "РТЭК +"</t>
  </si>
  <si>
    <t>ООО "Стройград"</t>
  </si>
  <si>
    <t>ООО "УК РЭУ №1"</t>
  </si>
  <si>
    <t>ООО "ГУК"</t>
  </si>
  <si>
    <t>ООО "ГСК"</t>
  </si>
  <si>
    <t>ООО "ЖИЛЦЕНТР"</t>
  </si>
  <si>
    <t>МУП "ЖКХ п.Тасинский Бор"</t>
  </si>
  <si>
    <t>ООО "МП "АЛЬТЕРНАТИВА"</t>
  </si>
  <si>
    <t>ООО "НАДЕЖДА"</t>
  </si>
  <si>
    <t>ООО "УПРАВЛЯЮЩАЯ КОМПАНИЯ "НАШ ДОМ КИРЖАЧ"</t>
  </si>
  <si>
    <t>ООО "МОНОЛИТ"</t>
  </si>
  <si>
    <t>ТСЖ "ИУЛЬТИНКА"</t>
  </si>
  <si>
    <t>ООО "КЭЧ"</t>
  </si>
  <si>
    <t>ООО "ПЛЕС+"</t>
  </si>
  <si>
    <t>ТСЖ "СЕВЕР"</t>
  </si>
  <si>
    <t>ООО "УПРАВЛЯЮЩАЯ КОМПАНИЯ"</t>
  </si>
  <si>
    <t>ООО УК "СЕЛИВАНОВО"</t>
  </si>
  <si>
    <t>ООО УК "Пономарев С.А."</t>
  </si>
  <si>
    <t>МУМП ЖКХ ПОС.СТАВРОВО</t>
  </si>
  <si>
    <t>ООО "ЖИЛСТРОЙ"</t>
  </si>
  <si>
    <t>ООО УК "Теплый Дом"</t>
  </si>
  <si>
    <t>ООО "Комстройсервис"</t>
  </si>
  <si>
    <t>ООО "НАШ ДОМ Г. СУДОГДА"</t>
  </si>
  <si>
    <t>МКП "Коммунальщик"</t>
  </si>
  <si>
    <t>ООО "АНДРЕЕВСКАЯ УПРАВЛЯЮЩАЯ КОМПАНИЯ"</t>
  </si>
  <si>
    <t>ООО "УК Жилищник"</t>
  </si>
  <si>
    <t>ООО "УНИВЕРСАЛ СТРОЙ"</t>
  </si>
  <si>
    <t>ООО"УПРАВЛЯЮЩАЯ КОМПАНИЯ № 1"</t>
  </si>
  <si>
    <t>ООО "ЭКСПЕРТ"</t>
  </si>
  <si>
    <t>Жилищно-строительный кооператив № 5 г.Костерево</t>
  </si>
  <si>
    <t>ООО "РСУ" Г.ПЕТУШКИ</t>
  </si>
  <si>
    <t>ООО "АЭЛИТА"</t>
  </si>
  <si>
    <t>ООО "УК ПОКРОВ"</t>
  </si>
  <si>
    <t>ООО "УК КОСТЕРЕВО"</t>
  </si>
  <si>
    <t>Итого по округ Муром</t>
  </si>
  <si>
    <t>округ Муром</t>
  </si>
  <si>
    <t>ООО "ДОМОУПРАВ"</t>
  </si>
  <si>
    <t>ОБЩЕСТВО С ОГРАНИЧЕННОЙ ОТВЕТСТВЕННОСТЬЮ УПРАВЛЯЮЩАЯ КОМПАНИЯ "ПАРТНЕР"</t>
  </si>
  <si>
    <t>ООО "ФОРТУНА"</t>
  </si>
  <si>
    <t>ООО "РЕМСТРОЙ ЮЖНЫЙ"</t>
  </si>
  <si>
    <t>ООО "СОЮЗ"</t>
  </si>
  <si>
    <t>ООО ДУК "ТЕРРИТОРИЯ"</t>
  </si>
  <si>
    <t>ООО "ВЕРБА"</t>
  </si>
  <si>
    <t>ТСН "ПРОГРЕСС"</t>
  </si>
  <si>
    <t>ТСН "МОСКОВСКАЯ 45"</t>
  </si>
  <si>
    <t>ООО "ДОМКОМ"</t>
  </si>
  <si>
    <t>ЖСПК № 44</t>
  </si>
  <si>
    <t>"Семья"</t>
  </si>
  <si>
    <t>Блочные</t>
  </si>
  <si>
    <t>ООО "МКД - Сервис"</t>
  </si>
  <si>
    <t>ООО "Управляющая организация"</t>
  </si>
  <si>
    <t>ООО УК "Согласие"</t>
  </si>
  <si>
    <t>ООО УК "Малая Медведица"</t>
  </si>
  <si>
    <t>ООО "КОМПАНИЯ "АС"</t>
  </si>
  <si>
    <t>ООО "РСК"</t>
  </si>
  <si>
    <t>ООО "ПЕРСПЕКТИВА"</t>
  </si>
  <si>
    <t>ООО "ЖКХ "УЮТ г. Александров"</t>
  </si>
  <si>
    <t>ООО "ЖКС "АЛДЕГА"</t>
  </si>
  <si>
    <t>ООО "УК "ЭВРИКА КОМФОРТ"</t>
  </si>
  <si>
    <t>ООО УК "СЖХ"</t>
  </si>
  <si>
    <t>ООО "НОВАЯ УПРАВЛЯЮЩАЯ КОМПАНИЯ"</t>
  </si>
  <si>
    <t>ООО "УК БЛАГОВЕСТ"</t>
  </si>
  <si>
    <t>ООО "ПОТЕНЦИАЛ"</t>
  </si>
  <si>
    <t>ООО "БАЛРЕМСТРОЙ"</t>
  </si>
  <si>
    <t>ООО "УК СОДРУЖЕСТВО"</t>
  </si>
  <si>
    <t>Итого по город Вязники</t>
  </si>
  <si>
    <t>Итого по Паустовское</t>
  </si>
  <si>
    <t>Итого по поселок Мстера</t>
  </si>
  <si>
    <t>Итого по Сарыевское</t>
  </si>
  <si>
    <t>Итого по поселок Никологоры</t>
  </si>
  <si>
    <t>Итого по Октябрьское</t>
  </si>
  <si>
    <t>Итого по Степанцевское</t>
  </si>
  <si>
    <t>14</t>
  </si>
  <si>
    <t>ООО "ЖЭК № 3"</t>
  </si>
  <si>
    <t>ООО "ЖЭК № 4"</t>
  </si>
  <si>
    <t>ООО "ЖЭК № 2"</t>
  </si>
  <si>
    <t>ТСЖ "СТЕПАНЦЕВСКОЕ"</t>
  </si>
  <si>
    <t>Итого по сводному краткосрочному плану на 2026 год</t>
  </si>
  <si>
    <t>Итого по сводному краткосрочному плану на 2026-2028 годы</t>
  </si>
  <si>
    <t>Итого по сводному краткосрочному плану на 2027 год</t>
  </si>
  <si>
    <t>Итого по сводному краткосрочному плану на 2028 год</t>
  </si>
  <si>
    <t>Получатель бюджетных средств - Некоммерческая организация "Фонд капитального ремонта многоквартирных домов Владимирской области" (далее - Некоммерческая организация)</t>
  </si>
  <si>
    <t xml:space="preserve">Источники финансирования </t>
  </si>
  <si>
    <t xml:space="preserve">Всего </t>
  </si>
  <si>
    <t>Федеральный бюджет (в т.ч. Средства, полученные от ППК "Фонд развития территорий")</t>
  </si>
  <si>
    <t>Областной бюджет</t>
  </si>
  <si>
    <t>Местные бюджеты</t>
  </si>
  <si>
    <t>Средства собственников</t>
  </si>
  <si>
    <t xml:space="preserve">Получатель бюджетных средств - Некоммерческая организация </t>
  </si>
  <si>
    <t>Объем финансирования в 2026 г., руб.</t>
  </si>
  <si>
    <t>Объем финансирования в 2027 г., руб.</t>
  </si>
  <si>
    <t>Объем финансирования в 2028 г., руб.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</si>
  <si>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</si>
  <si>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</si>
  <si>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</si>
  <si>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</si>
  <si>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</si>
  <si>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</si>
  <si>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>ЗАТО город Радужный</t>
  </si>
  <si>
    <t>город Вязники</t>
  </si>
  <si>
    <t>Сарыевское</t>
  </si>
  <si>
    <t>Октябрьское</t>
  </si>
  <si>
    <t>Паустовское</t>
  </si>
  <si>
    <t>поселок Никологоры</t>
  </si>
  <si>
    <t>город Суздаль</t>
  </si>
  <si>
    <t>Боголюбовское</t>
  </si>
  <si>
    <t>Павловское</t>
  </si>
  <si>
    <t>Селецкое</t>
  </si>
  <si>
    <t>Степанцевское</t>
  </si>
  <si>
    <t>поселок Мстера</t>
  </si>
  <si>
    <t>Новоалександровское</t>
  </si>
  <si>
    <t>ООО "УК "ЖИЛСЕРВИС"</t>
  </si>
  <si>
    <t>ООО "Жилищник-Центр"</t>
  </si>
  <si>
    <t>ООО УК "Порядок"</t>
  </si>
  <si>
    <t>ООО "Жилищник-Владимир"</t>
  </si>
  <si>
    <t>ООО "ЖСС"</t>
  </si>
  <si>
    <t>ООО "УК ЛЮКС"</t>
  </si>
  <si>
    <t>ООО "Наш дом"</t>
  </si>
  <si>
    <t>ООО "Жилремстрой"</t>
  </si>
  <si>
    <t>ТСЖ "Ритм"</t>
  </si>
  <si>
    <t>ООО "Мой дом"</t>
  </si>
  <si>
    <t>ООО "МУПЖРЭП"</t>
  </si>
  <si>
    <t>ООО "Наш дом-3"</t>
  </si>
  <si>
    <t>ООО "УК ЖРЭП"</t>
  </si>
  <si>
    <t>ООО "Жилищная компания"</t>
  </si>
  <si>
    <t>ООО "ЖРП  Заклязьменский"</t>
  </si>
  <si>
    <t>ООО "ТЭК"</t>
  </si>
  <si>
    <t>ООО "Квартал"</t>
  </si>
  <si>
    <t>ООО "ЖилСтройСтандарт"</t>
  </si>
  <si>
    <t>ООО "Слово и дело"</t>
  </si>
  <si>
    <t xml:space="preserve">Таблица №2 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</si>
  <si>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период 2026-2028 годы </t>
  </si>
  <si>
    <t>к сводному краткосрочному плану реализации
 региональной программы капитального ремонта общего
 имущества в многоквартирных домах еа территории Владимирской области
 на период 2026-2028 годы</t>
  </si>
  <si>
    <t>к сводному краткосрочному плану реализации
 региональной программы капитального ремонта общего
 имущества в многоквартирных домах на территории Владимирской области на период 2026-2028 годы</t>
  </si>
  <si>
    <t>на территории Владимирской области на период 2026-2028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</si>
  <si>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период 2026-2028 годы</t>
  </si>
  <si>
    <t>Ресурсное обеспечение
реализации краткосрочного плана реализации
региональной программы капитального ремонта общего имущества
в многоквартирных домах на территории
Владимирской области на период 2026-2028 годы</t>
  </si>
  <si>
    <t>Шлакоблок</t>
  </si>
  <si>
    <t>Таблица №3</t>
  </si>
  <si>
    <t>Планируемые показатели реализации сводного краткосрочного плана 
региональной программы капитального ремонта общего имущества
в многоквартирных домах на территории Владимирской области на период 2026-2028 годы</t>
  </si>
  <si>
    <t>Приложение</t>
  </si>
  <si>
    <t>Гусь-Хрустальный г, Мезиновская ул, 8</t>
  </si>
  <si>
    <t>Гусь-Хрустальный г, Гусевский п, Садовая ул, 9</t>
  </si>
  <si>
    <t>Гороховецкий р-н, Фоминки с, Чекунова ул, 3</t>
  </si>
  <si>
    <t>Гороховецкий р-н, Великово д, Путейская ул, 3</t>
  </si>
  <si>
    <t>Гороховец г, Кирова пер, 4</t>
  </si>
  <si>
    <t>ООО "РЕГИОНАЛЬНАЯ ТЕПЛО-ЭКСПЛУАТАЦИОННАЯ КОМПАНИЯ"</t>
  </si>
  <si>
    <t>МУП "Фоминское ЖКХ"</t>
  </si>
  <si>
    <t>ООО "ЖКХ"</t>
  </si>
  <si>
    <t>Собинский р-н, Лакинск г, Ленина пр-кт, 8/3</t>
  </si>
  <si>
    <t>Собинский р-н, Фетинино с, Молодежная ул, 1</t>
  </si>
  <si>
    <t>МУП ЖКХ "УК Собинского района"</t>
  </si>
  <si>
    <t>Камешково г, Рабочая ул, 8В</t>
  </si>
  <si>
    <t>ООО "УЮТ"</t>
  </si>
  <si>
    <t>Вязниковский р-н, Степанцево п, Ленина ул, 16</t>
  </si>
  <si>
    <t>ТСЖ "Степанцевское"</t>
  </si>
  <si>
    <t>Александров г, Лермонтова ул, 4</t>
  </si>
  <si>
    <t>ООО "УК "Содружество"</t>
  </si>
  <si>
    <t>Ковровский р-н, Крутово с, Просторная ул, 6</t>
  </si>
  <si>
    <t>Киржачский р-н, Новоселово д, Ленинская ул, 6</t>
  </si>
  <si>
    <t>Вязники г, Стахановская ул, 19</t>
  </si>
  <si>
    <t>Вязники г, Молодежная ул, 12</t>
  </si>
  <si>
    <t>Ковров г, Олега Кошевого ул, 12</t>
  </si>
  <si>
    <t>Петушинский р-н, Вольгинский п, Старовская ул, 3</t>
  </si>
  <si>
    <t>Петушинский р-н, Воспушка д, Ленина ул, 2</t>
  </si>
  <si>
    <t>Гусь-Хрустальный г, Рудницкой ул, 13</t>
  </si>
  <si>
    <t>Ковров г, Абельмана ул, 22</t>
  </si>
  <si>
    <t>Александровский р-н, Карабаново г, Маяковского ул, 12</t>
  </si>
  <si>
    <t>Кольчугино г, 4 Линия Ленинского поселка ул, 4</t>
  </si>
  <si>
    <t>Судогда г, Ленина ул, 9</t>
  </si>
  <si>
    <t>Гороховецкий р-н, Пролетарский п, Октябрьская ул, 3</t>
  </si>
  <si>
    <t>ЗАТО Радужный</t>
  </si>
  <si>
    <t>Александровский район</t>
  </si>
  <si>
    <t>Вязниковский район</t>
  </si>
  <si>
    <t>Гороховецкий район</t>
  </si>
  <si>
    <t>Гусь-Хрустальный район</t>
  </si>
  <si>
    <t>Камешковский район</t>
  </si>
  <si>
    <t>Киржачский район</t>
  </si>
  <si>
    <t>Ковровский район</t>
  </si>
  <si>
    <t>Кольчугинский район</t>
  </si>
  <si>
    <t>Меленковский район</t>
  </si>
  <si>
    <t>Петушинский район</t>
  </si>
  <si>
    <t>Селивановский район</t>
  </si>
  <si>
    <t>Собинский район</t>
  </si>
  <si>
    <t>Судогодский район</t>
  </si>
  <si>
    <t>Суздальский район</t>
  </si>
  <si>
    <t>Юрьев-Польский район</t>
  </si>
  <si>
    <t>Кольчугинский р-н, Большевик п, Школьный пер, 2</t>
  </si>
  <si>
    <t>МКП г. Судогда "Коммунальщик"</t>
  </si>
  <si>
    <t>ООО УК "СЕРВИС ПЛЮС"</t>
  </si>
  <si>
    <t>Петушинский р-н, Костерево г, Чехова ул, 2</t>
  </si>
  <si>
    <t>Муромский р-н, Муромский п, Центральная ул, 32</t>
  </si>
  <si>
    <t>Вязниковский р-н, Октябрьская д, Молодежная ул, 6</t>
  </si>
  <si>
    <t>Срок проведения капитального ремонта в МКД</t>
  </si>
  <si>
    <t>замена плоской кровли на  стропильную</t>
  </si>
  <si>
    <t>Информация
о выполнении капитального ремонта общего имущества в многоквартирных домах на территории Владимирской области, формирующих фонд капитального ремонта на специальных счетах, в рамках реализации региональной программы капитального ремонта в период 2026-2028 гг.</t>
  </si>
  <si>
    <t>Владимир г, Большие Ременники ул, 13</t>
  </si>
  <si>
    <t>Владимир г, Василисина ул, 8б</t>
  </si>
  <si>
    <t>Владимир г, Верхняя Дуброва ул, 32</t>
  </si>
  <si>
    <t>Владимир г, Горького ул, 125</t>
  </si>
  <si>
    <t>Владимир г, Горького ул, 79А</t>
  </si>
  <si>
    <t>Владимир г, Кирова ул, 3А</t>
  </si>
  <si>
    <t>Владимир г, Кирова ул, 7</t>
  </si>
  <si>
    <t>Владимир г, Комиссарова ул, 10/13</t>
  </si>
  <si>
    <t>Владимир г, Мира ул, 17А</t>
  </si>
  <si>
    <t>Владимир г, Мира ул, 22</t>
  </si>
  <si>
    <t>Владимир г, Нижняя Дуброва ул, 46А</t>
  </si>
  <si>
    <t>Владимир г, Ново-Ямская ул, 4</t>
  </si>
  <si>
    <t>Владимир г, Соколова-Соколенка ул, 27</t>
  </si>
  <si>
    <t>Владимир г, Строителей пр-кт, 13Г</t>
  </si>
  <si>
    <t>Владимир г, Сущевская ул, 7</t>
  </si>
  <si>
    <t>Владимир г, Чайковского ул, 25А</t>
  </si>
  <si>
    <t>Ковров г, Ватутина ул, 49</t>
  </si>
  <si>
    <t>Ковров г, Волго-Донская ул, 29</t>
  </si>
  <si>
    <t>Ковров г, Комсомольская ул, 95</t>
  </si>
  <si>
    <t>Ковров г, Машиностроителей ул, 3</t>
  </si>
  <si>
    <t>Кольчугино г, Коллективная ул, 37</t>
  </si>
  <si>
    <t>Муром г, Совхозная ул, 15А</t>
  </si>
  <si>
    <t>Итого по Владимирской области в 2026 году:</t>
  </si>
  <si>
    <t>к сводному краткосрочному плану реализации региональной программы капитального ремонта общего имущества в многоквартирных домах на территории Владимирской области на период 2026-2028 годы</t>
  </si>
  <si>
    <t>Приложение №1</t>
  </si>
  <si>
    <t>Меленки г, Коммунистическая ул, 28</t>
  </si>
  <si>
    <t>Суздаль г, Ленина ул, 30</t>
  </si>
  <si>
    <t>Суздаль г, Ленина ул, 74</t>
  </si>
  <si>
    <t>Ковров г, Зои Космодемьянской ул, 1/1</t>
  </si>
  <si>
    <t>Петушинский р-н, Покров г, Фейгина ул, 1а</t>
  </si>
  <si>
    <t>ООО "ЖЭЦ-Управление"</t>
  </si>
  <si>
    <t>ООО "УК Покров"</t>
  </si>
  <si>
    <t>Вязниковский р-н, Буторлино д, Шоссейная ул, 18</t>
  </si>
  <si>
    <t>Судогодский р-н, Красный Богатырь п, Ленина ул, 32а</t>
  </si>
  <si>
    <t>Итого по Кольчугинский муниципальный округ</t>
  </si>
  <si>
    <t>Итого по Судогодский муниципальный округ</t>
  </si>
  <si>
    <t>Кольчугинский р-н, Бавлены п, Южный пер, 3</t>
  </si>
  <si>
    <t>Кольчугинский р-н, Бавлены п, Молодежная ул, 2</t>
  </si>
  <si>
    <t>Кольчугинский р-н, Большое Кузьминское с, Рачкова ул, 19</t>
  </si>
  <si>
    <t>Кольчугинский р-н, Большое Кузьминское с, Молодежная ул, 5</t>
  </si>
  <si>
    <t>ООО "ЭЛИС"</t>
  </si>
  <si>
    <t>Кольчугино г, 3 Интернационала ул, 81А</t>
  </si>
  <si>
    <t>Александров г, Революции ул, 5</t>
  </si>
  <si>
    <t>Итого по Александровский муниципальный округ</t>
  </si>
  <si>
    <t>Ковров г, Ватутина ул, 53</t>
  </si>
  <si>
    <t>Владимир г, Ленина пр-кт, 13Б</t>
  </si>
  <si>
    <t>Владимир г, Балакирева ул, 39</t>
  </si>
  <si>
    <t>Владимир г, Ленина пр-кт, 38</t>
  </si>
  <si>
    <t>Владимир г, Верхняя Дуброва ул, 3</t>
  </si>
  <si>
    <t>Владимир г, Усти-на-Лабе ул, 5</t>
  </si>
  <si>
    <t>ТСЖ "Валентина"</t>
  </si>
  <si>
    <t>ООО "КОМПАНИЯ "НАШ ДОМ-3"</t>
  </si>
  <si>
    <t>ТСН "РЕВОЛЮЦИИ 5"</t>
  </si>
  <si>
    <t>Итого по Камешковский муниципальный округ</t>
  </si>
  <si>
    <t>Камешково г, Комсомольская пл, 6</t>
  </si>
  <si>
    <t>Итого по Селивановский муниципальный округ</t>
  </si>
  <si>
    <t>Итого по Гусь-Хрустальный муниципальный округ</t>
  </si>
  <si>
    <t>Итого по Гороховецкий муниципальный округ</t>
  </si>
  <si>
    <t>Итого по Киржачский муниципальный округ</t>
  </si>
  <si>
    <t>Итого по Киржачский  муниципальный округ</t>
  </si>
  <si>
    <t>Итого по Юрьев-Польский муниципальный округ</t>
  </si>
  <si>
    <t>Итого по Покровский городской округ</t>
  </si>
  <si>
    <t>Итого по Петушинский муниципальный округ</t>
  </si>
  <si>
    <t>Итого по Ковровский муниципальный округ</t>
  </si>
  <si>
    <t xml:space="preserve">Получатель бюджетных средств - Некоммерческая организация, товарищество собственников жилья, жилищный, жилищно-строительный кооператив, управляющая организация
 (в рамках постановления администрации области от 05.10.2018 №742, в рамках постановления Губернатора области от 13.02.2014 № 111) </t>
  </si>
  <si>
    <t xml:space="preserve">Получатель бюджетных средств - Некоммерческая организация (в рамках постановления администрации области от 05.10.2018 №742, в рамках постановления Губернатора области от 13.02.2014 № 111) </t>
  </si>
  <si>
    <t>Владимир г, Большая Московская ул, 4/6</t>
  </si>
  <si>
    <t>Владимир г, Дворянская ул, 13</t>
  </si>
  <si>
    <t>Александровский муниципальный округ</t>
  </si>
  <si>
    <t>Гороховецкий муниципальный округ</t>
  </si>
  <si>
    <t>Гусь-Хрустальный муниципальный округ</t>
  </si>
  <si>
    <t>Камешковский муниципальный округ</t>
  </si>
  <si>
    <t>Киржачский муниципальный округ</t>
  </si>
  <si>
    <t>Кольчугинский муниципальный округ</t>
  </si>
  <si>
    <t>Покровский городской округ</t>
  </si>
  <si>
    <t>Петушинский муниципальный округ</t>
  </si>
  <si>
    <t>Селивановский муниципальный округ</t>
  </si>
  <si>
    <t>Судогодский муниципальный округ</t>
  </si>
  <si>
    <t>Юрьев-Польский муниципальный округ</t>
  </si>
  <si>
    <t>Ковровский муниципальный округ</t>
  </si>
  <si>
    <t>Собинский р-н, Лакинск г, Мира ул, 102</t>
  </si>
  <si>
    <t>Александровский р-н, Струнино г, Дубки кв-л, 19</t>
  </si>
  <si>
    <t>Ковров г, Северный проезд, 13</t>
  </si>
  <si>
    <t>Камешковский р-н, Коверино с, Садовая ул, 3а</t>
  </si>
  <si>
    <t>Камешковский р-н, Новая Печуга д, 63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</si>
  <si>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</si>
  <si>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Х</t>
  </si>
  <si>
    <t>Владимир г, Усти-на-Лабе ул, 29/18</t>
  </si>
  <si>
    <t>Владимир г, Большая Московская ул, 75б</t>
  </si>
  <si>
    <t>Владимир г, Энергетик мкр, Энергетиков ул, 8Б</t>
  </si>
  <si>
    <t>Владимир г, Добросельская ул, 200а</t>
  </si>
  <si>
    <t>Меленковский р-н, Паново д, Молодежная ул, 4</t>
  </si>
  <si>
    <t>Меленковский р-н, Илькино с, Садовая ул, 8</t>
  </si>
  <si>
    <t>Меленковский р-н, Денятино с, Механизаторов ул, 4</t>
  </si>
  <si>
    <t>Селивановский р-н, Новый Быт п, Молодежная ул, 2</t>
  </si>
  <si>
    <t>Селивановский р-н, Надеждино д, Школьная ул, 10</t>
  </si>
  <si>
    <t>Гусь-Хрустальный р-н, Никулино д, Центральная ул, 17а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</si>
  <si>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</si>
  <si>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 xml:space="preserve">Итого по Владимирской области по 2026 году: </t>
  </si>
  <si>
    <t>ООО "РЕСУРС"</t>
  </si>
  <si>
    <t>"ПАНОВО"</t>
  </si>
  <si>
    <t>"ИЛЬКИНО"</t>
  </si>
  <si>
    <t xml:space="preserve">Получатель бюджетных средств - Некоммерческая организация (в рамках постановления администрации области от 05.10.2018 №742) </t>
  </si>
  <si>
    <t>в том числе: областной бюджет</t>
  </si>
  <si>
    <t>Информация по многоквартирным домам,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</si>
  <si>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Итого по Владимирской области по 2026 году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</si>
  <si>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</si>
  <si>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Александровский р-н, Струнино г, Дубки кв-л, 10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</si>
  <si>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</si>
  <si>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 xml:space="preserve">Проведение капитального ремонта общего имущества в связи с возникновением аварии, иных чрезвычайных ситуаций природного или техногенного характера (постановление администрации Владимирской области от 14.08.2017 № 678) </t>
  </si>
  <si>
    <t xml:space="preserve">Итого по Владимирской области по 2026 году </t>
  </si>
  <si>
    <t>Гусь-Хрустальный г, Гусевский п, Садовая ул, 7</t>
  </si>
  <si>
    <t>Гусь-Хрустальный р-н, Красное Эхо п, Зеленая ул, 10</t>
  </si>
  <si>
    <t>Гусь-Хрустальный р-н, Курлово г, Садовая ул, 6А</t>
  </si>
  <si>
    <t>Юрьев-Польский г, Чехова ул, 19</t>
  </si>
  <si>
    <t>Судогодский р-н, Муромцево п, Комсомольская ул, 6</t>
  </si>
  <si>
    <t>Владимир г, Большая Нижегородская ул, 50</t>
  </si>
  <si>
    <t>Владимир г, Большая Нижегородская ул, 1а</t>
  </si>
  <si>
    <t>Владимир г, Большая Московская ул, 53</t>
  </si>
  <si>
    <t>Владимир г, Большая Московская ул, 55</t>
  </si>
  <si>
    <t>Владимир г, Диктора Левитана ул, 3В</t>
  </si>
  <si>
    <t>Владимир г, Строителей пр-кт, 22</t>
  </si>
  <si>
    <t>Владимир г, Элеваторная ул, 14А</t>
  </si>
  <si>
    <t>Ковров г, Ленина пр-кт, 25</t>
  </si>
  <si>
    <t>ООО УК "СОГЛАСИЕ"</t>
  </si>
  <si>
    <t>Владимир г, Юрьевец мкр, Ноябрьская ул, 4</t>
  </si>
  <si>
    <t>Ковровский р-н, Достижение п, Фабричная ул, 37</t>
  </si>
  <si>
    <t>Ковровский р-н, Достижение п, Фабричная ул, 34</t>
  </si>
  <si>
    <t>Ковровский р-н, Клязьминский Городок с, Клязьминская ПМК ул, 21</t>
  </si>
  <si>
    <t>Ковровский р-н, Мелехово п, Гагарина ул, 5</t>
  </si>
  <si>
    <t>Ковровский р-н, Мелехово п, Комарова ул, 15</t>
  </si>
  <si>
    <t>Ковровский р-н, Мелехово п, Комарова ул, 17</t>
  </si>
  <si>
    <t>Владимир г, Вокзальная ул, 9</t>
  </si>
  <si>
    <t>Владимир г, Вокзальная ул, 11</t>
  </si>
  <si>
    <t>Владимир г, Вокзальная ул, 13</t>
  </si>
  <si>
    <t>Владимир г, Большая Московская ул, 9</t>
  </si>
  <si>
    <t>Владимир г, Большая Московская ул, 88</t>
  </si>
  <si>
    <t>ООО УК "Старый город"</t>
  </si>
  <si>
    <t>Владимир г, Мостострой мкр, Школьная ул, 16</t>
  </si>
  <si>
    <t>Юрьев-Польский г, Чехова ул, 12А</t>
  </si>
  <si>
    <t>Юрьев-Польский р-н, Ополье с, 4</t>
  </si>
  <si>
    <t>Александров г, Ленина ул, 22</t>
  </si>
  <si>
    <t>Александров г, Лермонтова ул, 11</t>
  </si>
  <si>
    <t>Гороховецкий р-н, Юрово д, Колхозная ул, 8</t>
  </si>
  <si>
    <t>Владимир г, Суздальский пр-кт, 9А</t>
  </si>
  <si>
    <t>Владимир г, Чапаева ул, 3</t>
  </si>
  <si>
    <t>Кольчугино г, Шмелева ул, 18</t>
  </si>
  <si>
    <t>Киржач г, Свобода ул, 5</t>
  </si>
  <si>
    <t>Гусь-Хрустальный г, Прудинская ул, 13</t>
  </si>
  <si>
    <t>Гусь-Хрустальный г, Ремонтная ул, 11</t>
  </si>
  <si>
    <t>Муром г, Орловская ул, 27</t>
  </si>
  <si>
    <t>Суздальский р-н, Садовый п, Центральная ул, 7</t>
  </si>
  <si>
    <t>Вязники г, Чехова ул,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</si>
</sst>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3" x14ac:knownFonts="1"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8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color theme="1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46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28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</font>
    <font>
      <sz val="2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36"/>
      <color theme="1"/>
      <name val="Calibri"/>
      <family val="2"/>
      <charset val="204"/>
      <scheme val="minor"/>
    </font>
    <font>
      <sz val="36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6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6" fillId="0" borderId="0"/>
    <xf numFmtId="0" fontId="21" fillId="0" borderId="0"/>
    <xf numFmtId="0" fontId="21" fillId="0" borderId="0"/>
    <xf numFmtId="0" fontId="38" fillId="0" borderId="0"/>
    <xf numFmtId="164" fontId="40" fillId="0" borderId="0"/>
    <xf numFmtId="0" fontId="21" fillId="0" borderId="0"/>
    <xf numFmtId="0" fontId="42" fillId="0" borderId="0"/>
  </cellStyleXfs>
  <cellXfs count="243">
    <xf numFmtId="0" fontId="0" fillId="0" borderId="0" xfId="0"/>
    <xf numFmtId="4" fontId="0" fillId="0" borderId="0" xfId="0" applyNumberFormat="1"/>
    <xf numFmtId="0" fontId="6" fillId="0" borderId="0" xfId="2" applyFont="1" applyAlignment="1">
      <alignment wrapText="1"/>
    </xf>
    <xf numFmtId="0" fontId="6" fillId="0" borderId="0" xfId="2" applyFont="1" applyAlignment="1">
      <alignment horizontal="right"/>
    </xf>
    <xf numFmtId="0" fontId="6" fillId="0" borderId="1" xfId="2" applyFont="1" applyBorder="1" applyAlignment="1">
      <alignment horizontal="center" vertical="center" wrapText="1"/>
    </xf>
    <xf numFmtId="4" fontId="6" fillId="0" borderId="1" xfId="0" applyNumberFormat="1" applyFont="1" applyBorder="1"/>
    <xf numFmtId="0" fontId="22" fillId="0" borderId="0" xfId="2" applyFont="1" applyAlignment="1">
      <alignment horizontal="center" vertical="center" wrapText="1"/>
    </xf>
    <xf numFmtId="0" fontId="6" fillId="0" borderId="0" xfId="2" applyFont="1" applyAlignment="1">
      <alignment horizontal="right" vertical="top" wrapText="1"/>
    </xf>
    <xf numFmtId="0" fontId="0" fillId="0" borderId="1" xfId="0" applyBorder="1"/>
    <xf numFmtId="0" fontId="6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8" fillId="0" borderId="1" xfId="0" applyFont="1" applyBorder="1"/>
    <xf numFmtId="4" fontId="23" fillId="0" borderId="1" xfId="1" applyNumberFormat="1" applyFont="1" applyBorder="1" applyAlignment="1">
      <alignment horizontal="center" vertical="center"/>
    </xf>
    <xf numFmtId="3" fontId="23" fillId="0" borderId="1" xfId="1" applyNumberFormat="1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3" fillId="0" borderId="1" xfId="0" applyFont="1" applyBorder="1"/>
    <xf numFmtId="0" fontId="41" fillId="0" borderId="1" xfId="0" applyFont="1" applyBorder="1"/>
    <xf numFmtId="3" fontId="23" fillId="0" borderId="1" xfId="0" applyNumberFormat="1" applyFont="1" applyBorder="1" applyAlignment="1">
      <alignment horizontal="center"/>
    </xf>
    <xf numFmtId="49" fontId="23" fillId="0" borderId="1" xfId="0" applyNumberFormat="1" applyFont="1" applyBorder="1" applyAlignment="1">
      <alignment horizontal="center"/>
    </xf>
    <xf numFmtId="4" fontId="6" fillId="0" borderId="1" xfId="2" applyNumberFormat="1" applyFont="1" applyBorder="1" applyAlignment="1">
      <alignment horizontal="right" vertical="center" wrapText="1"/>
    </xf>
    <xf numFmtId="0" fontId="28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0" fillId="0" borderId="0" xfId="0" applyFont="1"/>
    <xf numFmtId="4" fontId="29" fillId="0" borderId="0" xfId="0" applyNumberFormat="1" applyFont="1"/>
    <xf numFmtId="0" fontId="1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4" fontId="8" fillId="0" borderId="1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 vertical="center"/>
    </xf>
    <xf numFmtId="0" fontId="20" fillId="0" borderId="0" xfId="0" applyFont="1" applyAlignment="1">
      <alignment wrapText="1"/>
    </xf>
    <xf numFmtId="4" fontId="3" fillId="0" borderId="0" xfId="0" applyNumberFormat="1" applyFont="1"/>
    <xf numFmtId="0" fontId="32" fillId="0" borderId="0" xfId="0" applyFont="1"/>
    <xf numFmtId="0" fontId="34" fillId="0" borderId="0" xfId="0" applyFont="1"/>
    <xf numFmtId="0" fontId="35" fillId="0" borderId="0" xfId="0" applyFont="1" applyAlignment="1">
      <alignment vertical="center" wrapText="1"/>
    </xf>
    <xf numFmtId="4" fontId="39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1" fontId="37" fillId="0" borderId="1" xfId="0" applyNumberFormat="1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wrapText="1"/>
    </xf>
    <xf numFmtId="4" fontId="18" fillId="0" borderId="1" xfId="5" applyNumberFormat="1" applyFont="1" applyBorder="1" applyAlignment="1">
      <alignment horizontal="right" vertical="center" wrapText="1"/>
    </xf>
    <xf numFmtId="0" fontId="18" fillId="0" borderId="1" xfId="5" applyNumberFormat="1" applyFont="1" applyBorder="1" applyAlignment="1">
      <alignment horizontal="right" vertical="center" wrapText="1"/>
    </xf>
    <xf numFmtId="164" fontId="18" fillId="0" borderId="1" xfId="5" applyFont="1" applyBorder="1" applyAlignment="1">
      <alignment vertical="center" wrapText="1"/>
    </xf>
    <xf numFmtId="4" fontId="18" fillId="0" borderId="1" xfId="5" applyNumberFormat="1" applyFont="1" applyBorder="1" applyAlignment="1">
      <alignment horizontal="right" vertical="center"/>
    </xf>
    <xf numFmtId="0" fontId="18" fillId="0" borderId="1" xfId="5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18" fillId="0" borderId="1" xfId="5" applyFont="1" applyBorder="1" applyAlignment="1">
      <alignment horizontal="left" vertical="center" wrapText="1"/>
    </xf>
    <xf numFmtId="0" fontId="3" fillId="0" borderId="1" xfId="6" applyFont="1" applyBorder="1"/>
    <xf numFmtId="4" fontId="37" fillId="0" borderId="1" xfId="6" applyNumberFormat="1" applyFont="1" applyBorder="1"/>
    <xf numFmtId="0" fontId="19" fillId="0" borderId="1" xfId="7" applyFont="1" applyBorder="1" applyAlignment="1">
      <alignment horizontal="center" vertical="center"/>
    </xf>
    <xf numFmtId="0" fontId="0" fillId="2" borderId="0" xfId="0" applyFill="1"/>
    <xf numFmtId="4" fontId="0" fillId="2" borderId="0" xfId="0" applyNumberFormat="1" applyFill="1"/>
    <xf numFmtId="0" fontId="0" fillId="3" borderId="0" xfId="0" applyFill="1"/>
    <xf numFmtId="0" fontId="0" fillId="4" borderId="0" xfId="0" applyFill="1"/>
    <xf numFmtId="4" fontId="0" fillId="4" borderId="0" xfId="0" applyNumberFormat="1" applyFill="1"/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vertical="top" wrapText="1"/>
    </xf>
    <xf numFmtId="0" fontId="26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6" fillId="0" borderId="2" xfId="2" applyFont="1" applyBorder="1" applyAlignment="1">
      <alignment wrapText="1"/>
    </xf>
    <xf numFmtId="0" fontId="6" fillId="0" borderId="4" xfId="2" applyFont="1" applyBorder="1" applyAlignment="1">
      <alignment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0" xfId="2" applyFont="1" applyAlignment="1">
      <alignment horizontal="right" vertical="top" wrapText="1"/>
    </xf>
    <xf numFmtId="0" fontId="22" fillId="0" borderId="0" xfId="2" applyFont="1" applyAlignment="1">
      <alignment horizontal="center" vertical="center" wrapText="1"/>
    </xf>
    <xf numFmtId="2" fontId="37" fillId="0" borderId="5" xfId="0" applyNumberFormat="1" applyFont="1" applyBorder="1" applyAlignment="1">
      <alignment horizontal="center" vertical="center" textRotation="90" wrapText="1"/>
    </xf>
    <xf numFmtId="2" fontId="37" fillId="0" borderId="8" xfId="0" applyNumberFormat="1" applyFont="1" applyBorder="1" applyAlignment="1">
      <alignment horizontal="center" vertical="center" textRotation="90" wrapText="1"/>
    </xf>
    <xf numFmtId="2" fontId="37" fillId="0" borderId="6" xfId="0" applyNumberFormat="1" applyFont="1" applyBorder="1" applyAlignment="1">
      <alignment horizontal="center" vertical="center" textRotation="90" wrapText="1"/>
    </xf>
    <xf numFmtId="0" fontId="37" fillId="0" borderId="5" xfId="4" applyFont="1" applyBorder="1" applyAlignment="1">
      <alignment horizontal="center" vertical="center" textRotation="90" wrapText="1"/>
    </xf>
    <xf numFmtId="0" fontId="37" fillId="0" borderId="8" xfId="4" applyFont="1" applyBorder="1" applyAlignment="1">
      <alignment horizontal="center" vertical="center" textRotation="90" wrapText="1"/>
    </xf>
    <xf numFmtId="0" fontId="37" fillId="0" borderId="6" xfId="4" applyFont="1" applyBorder="1" applyAlignment="1">
      <alignment horizontal="center" vertical="center" textRotation="90" wrapText="1"/>
    </xf>
    <xf numFmtId="1" fontId="37" fillId="0" borderId="9" xfId="0" applyNumberFormat="1" applyFont="1" applyBorder="1" applyAlignment="1">
      <alignment horizontal="center" vertical="center" textRotation="90" wrapText="1"/>
    </xf>
    <xf numFmtId="1" fontId="37" fillId="0" borderId="10" xfId="0" applyNumberFormat="1" applyFont="1" applyBorder="1" applyAlignment="1">
      <alignment horizontal="center" vertical="center" textRotation="90" wrapText="1"/>
    </xf>
    <xf numFmtId="1" fontId="37" fillId="0" borderId="11" xfId="0" applyNumberFormat="1" applyFont="1" applyBorder="1" applyAlignment="1">
      <alignment horizontal="center" vertical="center" textRotation="90" wrapText="1"/>
    </xf>
    <xf numFmtId="1" fontId="37" fillId="0" borderId="12" xfId="0" applyNumberFormat="1" applyFont="1" applyBorder="1" applyAlignment="1">
      <alignment horizontal="center" vertical="center" textRotation="90" wrapText="1"/>
    </xf>
    <xf numFmtId="1" fontId="37" fillId="0" borderId="13" xfId="0" applyNumberFormat="1" applyFont="1" applyBorder="1" applyAlignment="1">
      <alignment horizontal="center" vertical="center" textRotation="90" wrapText="1"/>
    </xf>
    <xf numFmtId="1" fontId="37" fillId="0" borderId="14" xfId="0" applyNumberFormat="1" applyFont="1" applyBorder="1" applyAlignment="1">
      <alignment horizontal="center" vertical="center" textRotation="90" wrapText="1"/>
    </xf>
    <xf numFmtId="0" fontId="37" fillId="0" borderId="5" xfId="0" applyFont="1" applyBorder="1" applyAlignment="1">
      <alignment horizontal="center" vertical="center" textRotation="90" wrapText="1"/>
    </xf>
    <xf numFmtId="0" fontId="37" fillId="0" borderId="8" xfId="0" applyFont="1" applyBorder="1" applyAlignment="1">
      <alignment horizontal="center" vertical="center" textRotation="90" wrapText="1"/>
    </xf>
    <xf numFmtId="0" fontId="37" fillId="0" borderId="6" xfId="0" applyFont="1" applyBorder="1" applyAlignment="1">
      <alignment horizontal="center" vertical="center" textRotation="90" wrapTex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right" vertical="center" wrapText="1"/>
    </xf>
    <xf numFmtId="0" fontId="36" fillId="0" borderId="7" xfId="2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4" fontId="37" fillId="0" borderId="5" xfId="0" applyNumberFormat="1" applyFont="1" applyBorder="1" applyAlignment="1">
      <alignment horizontal="center" vertical="center" textRotation="90" wrapText="1"/>
    </xf>
    <xf numFmtId="4" fontId="37" fillId="0" borderId="8" xfId="0" applyNumberFormat="1" applyFont="1" applyBorder="1" applyAlignment="1">
      <alignment horizontal="center" vertical="center" textRotation="90" wrapText="1"/>
    </xf>
    <xf numFmtId="4" fontId="37" fillId="0" borderId="6" xfId="0" applyNumberFormat="1" applyFont="1" applyBorder="1" applyAlignment="1">
      <alignment horizontal="center" vertical="center" textRotation="90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5" xfId="3" applyFont="1" applyBorder="1" applyAlignment="1">
      <alignment horizontal="center" vertical="center" textRotation="90" wrapText="1"/>
    </xf>
    <xf numFmtId="0" fontId="37" fillId="0" borderId="8" xfId="3" applyFont="1" applyBorder="1" applyAlignment="1">
      <alignment horizontal="center" vertical="center" textRotation="90" wrapText="1"/>
    </xf>
    <xf numFmtId="0" fontId="37" fillId="0" borderId="6" xfId="3" applyFont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4" fontId="6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0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4" fontId="6" fillId="0" borderId="1" xfId="0" applyNumberFormat="1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0" fontId="6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/>
    </xf>
    <xf numFmtId="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6" fillId="0" borderId="1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8" fillId="0" borderId="1" xfId="0" applyFont="1" applyFill="1" applyBorder="1" applyAlignment="1">
      <alignment horizontal="center"/>
    </xf>
    <xf numFmtId="4" fontId="2" fillId="0" borderId="0" xfId="0" applyNumberFormat="1" applyFont="1" applyFill="1"/>
    <xf numFmtId="4" fontId="6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1" fontId="6" fillId="0" borderId="1" xfId="0" applyNumberFormat="1" applyFont="1" applyFill="1" applyBorder="1" applyAlignment="1">
      <alignment horizontal="right"/>
    </xf>
    <xf numFmtId="0" fontId="10" fillId="0" borderId="1" xfId="7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wrapText="1"/>
    </xf>
    <xf numFmtId="0" fontId="15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0" fillId="0" borderId="0" xfId="0" applyFont="1" applyFill="1" applyAlignment="1">
      <alignment horizontal="center" wrapText="1"/>
    </xf>
    <xf numFmtId="4" fontId="20" fillId="0" borderId="0" xfId="0" applyNumberFormat="1" applyFont="1" applyFill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textRotation="90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textRotation="90" wrapText="1"/>
    </xf>
    <xf numFmtId="4" fontId="3" fillId="0" borderId="5" xfId="1" applyNumberFormat="1" applyFont="1" applyFill="1" applyBorder="1" applyAlignment="1">
      <alignment horizontal="center" vertical="center" textRotation="90" wrapText="1"/>
    </xf>
    <xf numFmtId="4" fontId="3" fillId="0" borderId="1" xfId="1" applyNumberFormat="1" applyFont="1" applyFill="1" applyBorder="1" applyAlignment="1">
      <alignment horizontal="center" vertical="center" textRotation="90"/>
    </xf>
    <xf numFmtId="4" fontId="3" fillId="0" borderId="6" xfId="1" applyNumberFormat="1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/>
    <xf numFmtId="0" fontId="17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/>
    </xf>
    <xf numFmtId="4" fontId="3" fillId="0" borderId="1" xfId="1" applyNumberFormat="1" applyFont="1" applyFill="1" applyBorder="1" applyAlignment="1">
      <alignment horizontal="right" vertical="center"/>
    </xf>
    <xf numFmtId="0" fontId="19" fillId="0" borderId="1" xfId="0" applyFont="1" applyFill="1" applyBorder="1"/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18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8">
    <cellStyle name="Excel Built-in Normal" xfId="5" xr:uid="{EF90A89D-7C9D-451C-807D-15F6A83FA468}"/>
    <cellStyle name="Обычный" xfId="0" builtinId="0"/>
    <cellStyle name="Обычный 11" xfId="6" xr:uid="{C736E22C-726F-4B30-AAE1-965D47FC5401}"/>
    <cellStyle name="Обычный 2" xfId="1" xr:uid="{953CCDD5-8C10-4D4F-95D5-87709B6DE852}"/>
    <cellStyle name="Обычный 2 6" xfId="3" xr:uid="{01FD6FCC-23F0-4B34-ADC0-1AC1F634ACC9}"/>
    <cellStyle name="Обычный 3 16" xfId="4" xr:uid="{AE9CC1DC-D724-46BD-9CB8-A4CEA7774493}"/>
    <cellStyle name="Обычный 4 2 2 2" xfId="2" xr:uid="{65A857DE-2C12-4D2F-B06B-E036BE4E4B93}"/>
    <cellStyle name="Обычный_Лист1" xfId="7" xr:uid="{4460F584-993D-460C-B95B-D366F5E7EC83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F367-BE66-4C71-8B7F-C37C336EDBB9}">
  <sheetPr>
    <pageSetUpPr fitToPage="1"/>
  </sheetPr>
  <dimension ref="A1:AE551"/>
  <sheetViews>
    <sheetView topLeftCell="B1" zoomScale="54" zoomScaleNormal="54" workbookViewId="0">
      <selection activeCell="B1" sqref="A1:XFD1048576"/>
    </sheetView>
  </sheetViews>
  <sheetFormatPr defaultRowHeight="18.75" x14ac:dyDescent="0.3"/>
  <cols>
    <col min="1" max="1" width="9.140625" style="121" hidden="1" customWidth="1"/>
    <col min="2" max="2" width="10.5703125" style="121" customWidth="1"/>
    <col min="3" max="3" width="83.85546875" style="121" customWidth="1"/>
    <col min="4" max="4" width="38.5703125" style="190" hidden="1" customWidth="1"/>
    <col min="5" max="5" width="28.7109375" style="165" customWidth="1"/>
    <col min="6" max="6" width="20.7109375" style="118" customWidth="1"/>
    <col min="7" max="7" width="22.85546875" style="118" customWidth="1"/>
    <col min="8" max="8" width="23.7109375" style="118" customWidth="1"/>
    <col min="9" max="9" width="20.28515625" style="118" customWidth="1"/>
    <col min="10" max="10" width="22.85546875" style="118" customWidth="1"/>
    <col min="11" max="11" width="14.42578125" style="118" customWidth="1"/>
    <col min="12" max="12" width="19.42578125" style="118" customWidth="1"/>
    <col min="13" max="13" width="24.42578125" style="118" customWidth="1"/>
    <col min="14" max="14" width="17.5703125" style="118" customWidth="1"/>
    <col min="15" max="15" width="23.28515625" style="191" customWidth="1"/>
    <col min="16" max="16" width="16.85546875" style="118" customWidth="1"/>
    <col min="17" max="17" width="19.5703125" style="118" customWidth="1"/>
    <col min="18" max="18" width="18.5703125" style="118" customWidth="1"/>
    <col min="19" max="19" width="22" style="118" customWidth="1"/>
    <col min="20" max="20" width="14" style="118" customWidth="1"/>
    <col min="21" max="21" width="18.28515625" style="118" customWidth="1"/>
    <col min="22" max="22" width="22" style="118" customWidth="1"/>
    <col min="23" max="23" width="46" style="118" customWidth="1"/>
    <col min="24" max="24" width="21.28515625" style="118" customWidth="1"/>
    <col min="25" max="25" width="42.7109375" style="118" customWidth="1"/>
    <col min="26" max="26" width="21.5703125" style="118" customWidth="1"/>
    <col min="27" max="27" width="19.28515625" style="118" customWidth="1"/>
    <col min="28" max="29" width="24.5703125" style="118" customWidth="1"/>
    <col min="30" max="30" width="24" style="118" customWidth="1"/>
    <col min="31" max="16384" width="9.140625" style="121"/>
  </cols>
  <sheetData>
    <row r="1" spans="2:30" ht="36" x14ac:dyDescent="0.55000000000000004">
      <c r="B1" s="111"/>
      <c r="C1" s="112"/>
      <c r="D1" s="113"/>
      <c r="E1" s="114"/>
      <c r="F1" s="115"/>
      <c r="G1" s="115"/>
      <c r="H1" s="115"/>
      <c r="I1" s="116"/>
      <c r="J1" s="115"/>
      <c r="K1" s="115"/>
      <c r="L1" s="115"/>
      <c r="M1" s="115"/>
      <c r="N1" s="115"/>
      <c r="O1" s="117"/>
      <c r="P1" s="115"/>
      <c r="Q1" s="115"/>
      <c r="Y1" s="119"/>
      <c r="Z1" s="119"/>
      <c r="AA1" s="119"/>
      <c r="AB1" s="120" t="s">
        <v>577</v>
      </c>
      <c r="AC1" s="120"/>
      <c r="AD1" s="120"/>
    </row>
    <row r="2" spans="2:30" ht="78" customHeight="1" x14ac:dyDescent="0.45">
      <c r="B2" s="111"/>
      <c r="C2" s="112"/>
      <c r="D2" s="113"/>
      <c r="E2" s="114"/>
      <c r="F2" s="115"/>
      <c r="G2" s="115"/>
      <c r="H2" s="115"/>
      <c r="I2" s="116"/>
      <c r="J2" s="115"/>
      <c r="K2" s="115"/>
      <c r="L2" s="115"/>
      <c r="M2" s="115"/>
      <c r="N2" s="115"/>
      <c r="O2" s="117"/>
      <c r="P2" s="115"/>
      <c r="Q2" s="115"/>
      <c r="Y2" s="122" t="s">
        <v>0</v>
      </c>
      <c r="Z2" s="122"/>
      <c r="AA2" s="122"/>
      <c r="AB2" s="122"/>
      <c r="AC2" s="122"/>
      <c r="AD2" s="122"/>
    </row>
    <row r="3" spans="2:30" ht="44.25" customHeight="1" x14ac:dyDescent="1.25">
      <c r="B3" s="123"/>
      <c r="C3" s="124"/>
      <c r="D3" s="125"/>
      <c r="E3" s="114"/>
      <c r="F3" s="115"/>
      <c r="G3" s="115"/>
      <c r="H3" s="115"/>
      <c r="I3" s="116"/>
      <c r="J3" s="115"/>
      <c r="K3" s="115"/>
      <c r="L3" s="115"/>
      <c r="M3" s="115"/>
      <c r="N3" s="115"/>
      <c r="O3" s="117"/>
      <c r="P3" s="115"/>
      <c r="Q3" s="115"/>
      <c r="Y3" s="119"/>
      <c r="Z3" s="119"/>
      <c r="AA3" s="122" t="s">
        <v>1</v>
      </c>
      <c r="AB3" s="122"/>
      <c r="AC3" s="122"/>
      <c r="AD3" s="122"/>
    </row>
    <row r="4" spans="2:30" ht="34.5" x14ac:dyDescent="0.45">
      <c r="B4" s="126" t="s">
        <v>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</row>
    <row r="5" spans="2:30" ht="34.5" x14ac:dyDescent="0.25">
      <c r="B5" s="127" t="s">
        <v>3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</row>
    <row r="6" spans="2:30" ht="34.5" x14ac:dyDescent="0.25">
      <c r="B6" s="127" t="s">
        <v>571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</row>
    <row r="7" spans="2:30" ht="35.25" x14ac:dyDescent="0.5">
      <c r="B7" s="128"/>
      <c r="C7" s="129"/>
      <c r="D7" s="128"/>
      <c r="E7" s="130"/>
      <c r="F7" s="115"/>
      <c r="G7" s="115"/>
      <c r="H7" s="115"/>
      <c r="I7" s="116"/>
      <c r="J7" s="115"/>
      <c r="K7" s="115"/>
      <c r="L7" s="115"/>
      <c r="M7" s="115"/>
      <c r="N7" s="115"/>
      <c r="O7" s="117"/>
      <c r="P7" s="115"/>
      <c r="Q7" s="115"/>
      <c r="R7" s="115"/>
      <c r="S7" s="115"/>
      <c r="T7" s="115"/>
      <c r="U7" s="115"/>
      <c r="V7" s="115"/>
      <c r="W7" s="115"/>
      <c r="X7" s="115"/>
    </row>
    <row r="8" spans="2:30" x14ac:dyDescent="0.25">
      <c r="B8" s="131" t="s">
        <v>4</v>
      </c>
      <c r="C8" s="131" t="s">
        <v>5</v>
      </c>
      <c r="D8" s="132"/>
      <c r="E8" s="133" t="s">
        <v>6</v>
      </c>
      <c r="F8" s="131" t="s">
        <v>7</v>
      </c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4" t="s">
        <v>8</v>
      </c>
      <c r="W8" s="134"/>
      <c r="X8" s="134"/>
      <c r="Y8" s="134"/>
      <c r="Z8" s="134"/>
      <c r="AA8" s="134"/>
      <c r="AB8" s="135" t="s">
        <v>9</v>
      </c>
      <c r="AC8" s="135" t="s">
        <v>10</v>
      </c>
      <c r="AD8" s="135" t="s">
        <v>11</v>
      </c>
    </row>
    <row r="9" spans="2:30" x14ac:dyDescent="0.25">
      <c r="B9" s="131"/>
      <c r="C9" s="131"/>
      <c r="D9" s="132"/>
      <c r="E9" s="133"/>
      <c r="F9" s="131" t="s">
        <v>12</v>
      </c>
      <c r="G9" s="131"/>
      <c r="H9" s="131"/>
      <c r="I9" s="131"/>
      <c r="J9" s="131"/>
      <c r="K9" s="131"/>
      <c r="L9" s="131" t="s">
        <v>13</v>
      </c>
      <c r="M9" s="131"/>
      <c r="N9" s="131" t="s">
        <v>14</v>
      </c>
      <c r="O9" s="131"/>
      <c r="P9" s="131" t="s">
        <v>15</v>
      </c>
      <c r="Q9" s="131"/>
      <c r="R9" s="131" t="s">
        <v>16</v>
      </c>
      <c r="S9" s="131"/>
      <c r="T9" s="131" t="s">
        <v>17</v>
      </c>
      <c r="U9" s="131"/>
      <c r="V9" s="136" t="s">
        <v>18</v>
      </c>
      <c r="W9" s="136" t="s">
        <v>19</v>
      </c>
      <c r="X9" s="136" t="s">
        <v>20</v>
      </c>
      <c r="Y9" s="137" t="s">
        <v>21</v>
      </c>
      <c r="Z9" s="136" t="s">
        <v>22</v>
      </c>
      <c r="AA9" s="136" t="s">
        <v>23</v>
      </c>
      <c r="AB9" s="135"/>
      <c r="AC9" s="135"/>
      <c r="AD9" s="135"/>
    </row>
    <row r="10" spans="2:30" ht="18.75" customHeight="1" x14ac:dyDescent="0.25">
      <c r="B10" s="131"/>
      <c r="C10" s="131"/>
      <c r="D10" s="132"/>
      <c r="E10" s="133"/>
      <c r="F10" s="135" t="s">
        <v>24</v>
      </c>
      <c r="G10" s="135" t="s">
        <v>25</v>
      </c>
      <c r="H10" s="135" t="s">
        <v>26</v>
      </c>
      <c r="I10" s="135" t="s">
        <v>27</v>
      </c>
      <c r="J10" s="135" t="s">
        <v>28</v>
      </c>
      <c r="K10" s="135" t="s">
        <v>29</v>
      </c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6"/>
      <c r="W10" s="136"/>
      <c r="X10" s="136"/>
      <c r="Y10" s="137"/>
      <c r="Z10" s="136"/>
      <c r="AA10" s="136"/>
      <c r="AB10" s="135"/>
      <c r="AC10" s="135"/>
      <c r="AD10" s="135"/>
    </row>
    <row r="11" spans="2:30" ht="289.5" customHeight="1" x14ac:dyDescent="0.25">
      <c r="B11" s="131"/>
      <c r="C11" s="131"/>
      <c r="D11" s="132"/>
      <c r="E11" s="133"/>
      <c r="F11" s="135"/>
      <c r="G11" s="135"/>
      <c r="H11" s="135"/>
      <c r="I11" s="135"/>
      <c r="J11" s="135"/>
      <c r="K11" s="135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6"/>
      <c r="W11" s="136"/>
      <c r="X11" s="136"/>
      <c r="Y11" s="137"/>
      <c r="Z11" s="136"/>
      <c r="AA11" s="136"/>
      <c r="AB11" s="135"/>
      <c r="AC11" s="135"/>
      <c r="AD11" s="135"/>
    </row>
    <row r="12" spans="2:30" ht="18.75" customHeight="1" x14ac:dyDescent="0.25">
      <c r="B12" s="131"/>
      <c r="C12" s="131"/>
      <c r="D12" s="132"/>
      <c r="E12" s="133"/>
      <c r="F12" s="135"/>
      <c r="G12" s="135"/>
      <c r="H12" s="135"/>
      <c r="I12" s="135"/>
      <c r="J12" s="135"/>
      <c r="K12" s="135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6"/>
      <c r="W12" s="136"/>
      <c r="X12" s="136"/>
      <c r="Y12" s="137"/>
      <c r="Z12" s="136"/>
      <c r="AA12" s="136"/>
      <c r="AB12" s="135"/>
      <c r="AC12" s="135"/>
      <c r="AD12" s="135"/>
    </row>
    <row r="13" spans="2:30" ht="18.75" customHeight="1" x14ac:dyDescent="0.25">
      <c r="B13" s="131"/>
      <c r="C13" s="131"/>
      <c r="D13" s="132"/>
      <c r="E13" s="133"/>
      <c r="F13" s="135"/>
      <c r="G13" s="135"/>
      <c r="H13" s="135"/>
      <c r="I13" s="135"/>
      <c r="J13" s="135"/>
      <c r="K13" s="135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6"/>
      <c r="W13" s="136"/>
      <c r="X13" s="136"/>
      <c r="Y13" s="137"/>
      <c r="Z13" s="136"/>
      <c r="AA13" s="136"/>
      <c r="AB13" s="135"/>
      <c r="AC13" s="135"/>
      <c r="AD13" s="135"/>
    </row>
    <row r="14" spans="2:30" x14ac:dyDescent="0.3">
      <c r="B14" s="138"/>
      <c r="C14" s="138"/>
      <c r="D14" s="139"/>
      <c r="E14" s="140" t="s">
        <v>30</v>
      </c>
      <c r="F14" s="140" t="s">
        <v>30</v>
      </c>
      <c r="G14" s="140" t="s">
        <v>30</v>
      </c>
      <c r="H14" s="140" t="s">
        <v>30</v>
      </c>
      <c r="I14" s="140" t="s">
        <v>30</v>
      </c>
      <c r="J14" s="140" t="s">
        <v>30</v>
      </c>
      <c r="K14" s="140" t="s">
        <v>30</v>
      </c>
      <c r="L14" s="132" t="s">
        <v>31</v>
      </c>
      <c r="M14" s="132" t="s">
        <v>30</v>
      </c>
      <c r="N14" s="132" t="s">
        <v>32</v>
      </c>
      <c r="O14" s="140" t="s">
        <v>30</v>
      </c>
      <c r="P14" s="132" t="s">
        <v>32</v>
      </c>
      <c r="Q14" s="132" t="s">
        <v>30</v>
      </c>
      <c r="R14" s="132" t="s">
        <v>32</v>
      </c>
      <c r="S14" s="132" t="s">
        <v>30</v>
      </c>
      <c r="T14" s="132" t="s">
        <v>33</v>
      </c>
      <c r="U14" s="132" t="s">
        <v>30</v>
      </c>
      <c r="V14" s="132" t="s">
        <v>30</v>
      </c>
      <c r="W14" s="132" t="s">
        <v>30</v>
      </c>
      <c r="X14" s="132" t="s">
        <v>30</v>
      </c>
      <c r="Y14" s="140" t="s">
        <v>30</v>
      </c>
      <c r="Z14" s="132" t="s">
        <v>30</v>
      </c>
      <c r="AA14" s="132" t="s">
        <v>30</v>
      </c>
      <c r="AB14" s="135"/>
      <c r="AC14" s="135"/>
      <c r="AD14" s="135"/>
    </row>
    <row r="15" spans="2:30" ht="21.75" customHeight="1" x14ac:dyDescent="0.25">
      <c r="B15" s="132">
        <v>1</v>
      </c>
      <c r="C15" s="132">
        <v>2</v>
      </c>
      <c r="D15" s="132"/>
      <c r="E15" s="132">
        <v>3</v>
      </c>
      <c r="F15" s="132">
        <v>4</v>
      </c>
      <c r="G15" s="132">
        <v>5</v>
      </c>
      <c r="H15" s="132">
        <v>6</v>
      </c>
      <c r="I15" s="132">
        <v>7</v>
      </c>
      <c r="J15" s="132">
        <v>8</v>
      </c>
      <c r="K15" s="132">
        <v>9</v>
      </c>
      <c r="L15" s="132">
        <v>10</v>
      </c>
      <c r="M15" s="132">
        <v>11</v>
      </c>
      <c r="N15" s="132">
        <v>12</v>
      </c>
      <c r="O15" s="140">
        <v>13</v>
      </c>
      <c r="P15" s="132">
        <v>14</v>
      </c>
      <c r="Q15" s="132">
        <v>15</v>
      </c>
      <c r="R15" s="132">
        <v>16</v>
      </c>
      <c r="S15" s="132">
        <v>17</v>
      </c>
      <c r="T15" s="132">
        <v>18</v>
      </c>
      <c r="U15" s="132">
        <v>19</v>
      </c>
      <c r="V15" s="132">
        <v>20</v>
      </c>
      <c r="W15" s="132">
        <v>21</v>
      </c>
      <c r="X15" s="132">
        <v>22</v>
      </c>
      <c r="Y15" s="132">
        <v>23</v>
      </c>
      <c r="Z15" s="132">
        <v>24</v>
      </c>
      <c r="AA15" s="132">
        <v>25</v>
      </c>
      <c r="AB15" s="132">
        <v>26</v>
      </c>
      <c r="AC15" s="132">
        <v>27</v>
      </c>
      <c r="AD15" s="132">
        <v>28</v>
      </c>
    </row>
    <row r="16" spans="2:30" x14ac:dyDescent="0.3">
      <c r="B16" s="141" t="s">
        <v>515</v>
      </c>
      <c r="C16" s="142"/>
      <c r="D16" s="143"/>
      <c r="E16" s="144">
        <f t="shared" ref="E16:AA16" si="0">E17+E199+E368</f>
        <v>4346442297.4100008</v>
      </c>
      <c r="F16" s="144">
        <f t="shared" si="0"/>
        <v>7852993.7000000002</v>
      </c>
      <c r="G16" s="144">
        <f t="shared" si="0"/>
        <v>11300857.640000001</v>
      </c>
      <c r="H16" s="144">
        <f t="shared" si="0"/>
        <v>13560062.16</v>
      </c>
      <c r="I16" s="144">
        <f t="shared" si="0"/>
        <v>14646627.969999999</v>
      </c>
      <c r="J16" s="144">
        <f t="shared" si="0"/>
        <v>44642919.200000003</v>
      </c>
      <c r="K16" s="144">
        <f t="shared" si="0"/>
        <v>0</v>
      </c>
      <c r="L16" s="145">
        <f t="shared" si="0"/>
        <v>47</v>
      </c>
      <c r="M16" s="144">
        <f t="shared" si="0"/>
        <v>183849907.98999998</v>
      </c>
      <c r="N16" s="144">
        <f t="shared" si="0"/>
        <v>296397.93884899997</v>
      </c>
      <c r="O16" s="144">
        <f t="shared" si="0"/>
        <v>3568692956.1999998</v>
      </c>
      <c r="P16" s="144">
        <f t="shared" si="0"/>
        <v>0</v>
      </c>
      <c r="Q16" s="144">
        <f t="shared" si="0"/>
        <v>0</v>
      </c>
      <c r="R16" s="144">
        <f t="shared" si="0"/>
        <v>36621.340000000004</v>
      </c>
      <c r="S16" s="144">
        <f t="shared" si="0"/>
        <v>320564766.60000002</v>
      </c>
      <c r="T16" s="144">
        <f t="shared" si="0"/>
        <v>538.80999999999995</v>
      </c>
      <c r="U16" s="144">
        <f t="shared" si="0"/>
        <v>18056078.219999999</v>
      </c>
      <c r="V16" s="144">
        <f t="shared" si="0"/>
        <v>7409370.6399999997</v>
      </c>
      <c r="W16" s="144">
        <f t="shared" si="0"/>
        <v>0</v>
      </c>
      <c r="X16" s="144">
        <f t="shared" si="0"/>
        <v>1832114.13</v>
      </c>
      <c r="Y16" s="144">
        <f t="shared" si="0"/>
        <v>86289447.339999989</v>
      </c>
      <c r="Z16" s="144">
        <f t="shared" si="0"/>
        <v>65954195.620000005</v>
      </c>
      <c r="AA16" s="144">
        <f t="shared" si="0"/>
        <v>1790000</v>
      </c>
      <c r="AB16" s="146" t="s">
        <v>422</v>
      </c>
      <c r="AC16" s="146" t="s">
        <v>422</v>
      </c>
      <c r="AD16" s="146" t="s">
        <v>422</v>
      </c>
    </row>
    <row r="17" spans="1:30" ht="17.25" customHeight="1" x14ac:dyDescent="0.3">
      <c r="B17" s="147" t="s">
        <v>514</v>
      </c>
      <c r="C17" s="142"/>
      <c r="D17" s="143"/>
      <c r="E17" s="144">
        <f t="shared" ref="E17:AA17" si="1">E18+E56+E64+E79+E89+E91+E106+E111+E113+E115+E120+E117+E127+E131+E136+E141+E146+E152+E156+E164+E172+E174+E184+E190+E192+E196</f>
        <v>1380041285.8700001</v>
      </c>
      <c r="F17" s="144">
        <f t="shared" si="1"/>
        <v>436761.91000000003</v>
      </c>
      <c r="G17" s="144">
        <f t="shared" si="1"/>
        <v>0</v>
      </c>
      <c r="H17" s="144">
        <f t="shared" si="1"/>
        <v>5000000</v>
      </c>
      <c r="I17" s="144">
        <f t="shared" si="1"/>
        <v>1585705.45</v>
      </c>
      <c r="J17" s="144">
        <f t="shared" si="1"/>
        <v>14778633.539999999</v>
      </c>
      <c r="K17" s="144">
        <f t="shared" si="1"/>
        <v>0</v>
      </c>
      <c r="L17" s="145">
        <f t="shared" si="1"/>
        <v>8</v>
      </c>
      <c r="M17" s="144">
        <f t="shared" si="1"/>
        <v>29021857.25</v>
      </c>
      <c r="N17" s="144">
        <f t="shared" si="1"/>
        <v>93536.746259000007</v>
      </c>
      <c r="O17" s="144">
        <f t="shared" si="1"/>
        <v>1057840407.4999998</v>
      </c>
      <c r="P17" s="144">
        <f t="shared" si="1"/>
        <v>0</v>
      </c>
      <c r="Q17" s="144">
        <f t="shared" si="1"/>
        <v>0</v>
      </c>
      <c r="R17" s="144">
        <f t="shared" si="1"/>
        <v>26088.320000000003</v>
      </c>
      <c r="S17" s="144">
        <f t="shared" si="1"/>
        <v>207139940.69000003</v>
      </c>
      <c r="T17" s="144">
        <f t="shared" si="1"/>
        <v>353.81</v>
      </c>
      <c r="U17" s="144">
        <f t="shared" si="1"/>
        <v>14005953.149999999</v>
      </c>
      <c r="V17" s="144">
        <f t="shared" si="1"/>
        <v>0</v>
      </c>
      <c r="W17" s="144">
        <f t="shared" si="1"/>
        <v>0</v>
      </c>
      <c r="X17" s="144">
        <f t="shared" si="1"/>
        <v>0</v>
      </c>
      <c r="Y17" s="144">
        <f t="shared" si="1"/>
        <v>28883962.18999999</v>
      </c>
      <c r="Z17" s="144">
        <f t="shared" si="1"/>
        <v>19678064.190000005</v>
      </c>
      <c r="AA17" s="144">
        <f t="shared" si="1"/>
        <v>1670000</v>
      </c>
      <c r="AB17" s="146" t="s">
        <v>422</v>
      </c>
      <c r="AC17" s="146" t="s">
        <v>422</v>
      </c>
      <c r="AD17" s="146" t="s">
        <v>422</v>
      </c>
    </row>
    <row r="18" spans="1:30" ht="17.25" customHeight="1" x14ac:dyDescent="0.3">
      <c r="B18" s="147" t="s">
        <v>413</v>
      </c>
      <c r="C18" s="142"/>
      <c r="D18" s="143"/>
      <c r="E18" s="144">
        <f>SUM(E19:E55)</f>
        <v>363865151.03000009</v>
      </c>
      <c r="F18" s="144">
        <f t="shared" ref="F18:AA18" si="2">SUM(F19:F55)</f>
        <v>0</v>
      </c>
      <c r="G18" s="144">
        <f t="shared" si="2"/>
        <v>0</v>
      </c>
      <c r="H18" s="144">
        <f t="shared" si="2"/>
        <v>5000000</v>
      </c>
      <c r="I18" s="144">
        <f t="shared" si="2"/>
        <v>681335.4</v>
      </c>
      <c r="J18" s="144">
        <f t="shared" si="2"/>
        <v>0</v>
      </c>
      <c r="K18" s="144">
        <f t="shared" si="2"/>
        <v>0</v>
      </c>
      <c r="L18" s="145">
        <f t="shared" si="2"/>
        <v>3</v>
      </c>
      <c r="M18" s="144">
        <f t="shared" si="2"/>
        <v>11050900.550000001</v>
      </c>
      <c r="N18" s="144">
        <f t="shared" si="2"/>
        <v>17391.010000000002</v>
      </c>
      <c r="O18" s="144">
        <f t="shared" si="2"/>
        <v>183522009.58000001</v>
      </c>
      <c r="P18" s="144">
        <f t="shared" si="2"/>
        <v>0</v>
      </c>
      <c r="Q18" s="144">
        <f t="shared" si="2"/>
        <v>0</v>
      </c>
      <c r="R18" s="144">
        <f t="shared" si="2"/>
        <v>18774.820000000003</v>
      </c>
      <c r="S18" s="144">
        <f t="shared" si="2"/>
        <v>150696274.03999999</v>
      </c>
      <c r="T18" s="144">
        <f t="shared" si="2"/>
        <v>0</v>
      </c>
      <c r="U18" s="144">
        <f t="shared" si="2"/>
        <v>0</v>
      </c>
      <c r="V18" s="144">
        <f t="shared" si="2"/>
        <v>0</v>
      </c>
      <c r="W18" s="144">
        <f t="shared" si="2"/>
        <v>0</v>
      </c>
      <c r="X18" s="144">
        <f t="shared" si="2"/>
        <v>0</v>
      </c>
      <c r="Y18" s="144">
        <f t="shared" si="2"/>
        <v>7234409.669999999</v>
      </c>
      <c r="Z18" s="144">
        <f t="shared" si="2"/>
        <v>5340221.790000001</v>
      </c>
      <c r="AA18" s="144">
        <f t="shared" si="2"/>
        <v>340000</v>
      </c>
      <c r="AB18" s="146" t="s">
        <v>422</v>
      </c>
      <c r="AC18" s="146" t="s">
        <v>422</v>
      </c>
      <c r="AD18" s="146" t="s">
        <v>422</v>
      </c>
    </row>
    <row r="19" spans="1:30" x14ac:dyDescent="0.25">
      <c r="A19" s="121">
        <v>1</v>
      </c>
      <c r="B19" s="148">
        <f>SUBTOTAL(9,$A$19:A19)</f>
        <v>1</v>
      </c>
      <c r="C19" s="149" t="s">
        <v>34</v>
      </c>
      <c r="D19" s="150" t="s">
        <v>113</v>
      </c>
      <c r="E19" s="144">
        <f t="shared" ref="E19:E55" si="3">F19+G19+H19+I19+J19+K19+M19+O19+Q19+S19+U19+V19+W19+X19+Y19+Z19+AA19</f>
        <v>7508441.6000000006</v>
      </c>
      <c r="F19" s="151">
        <v>0</v>
      </c>
      <c r="G19" s="151">
        <v>0</v>
      </c>
      <c r="H19" s="151">
        <v>0</v>
      </c>
      <c r="I19" s="151">
        <v>0</v>
      </c>
      <c r="J19" s="151">
        <v>0</v>
      </c>
      <c r="K19" s="151">
        <v>0</v>
      </c>
      <c r="L19" s="152">
        <v>0</v>
      </c>
      <c r="M19" s="151">
        <v>0</v>
      </c>
      <c r="N19" s="151">
        <v>591.5</v>
      </c>
      <c r="O19" s="153">
        <v>7137776.3700000001</v>
      </c>
      <c r="P19" s="151">
        <v>0</v>
      </c>
      <c r="Q19" s="151">
        <v>0</v>
      </c>
      <c r="R19" s="151">
        <v>0</v>
      </c>
      <c r="S19" s="151">
        <v>0</v>
      </c>
      <c r="T19" s="151">
        <v>0</v>
      </c>
      <c r="U19" s="151">
        <v>0</v>
      </c>
      <c r="V19" s="151">
        <v>0</v>
      </c>
      <c r="W19" s="151">
        <v>0</v>
      </c>
      <c r="X19" s="151">
        <v>0</v>
      </c>
      <c r="Y19" s="153">
        <v>263598.58</v>
      </c>
      <c r="Z19" s="153">
        <f>ROUND(O19*1.5%,2)</f>
        <v>107066.65</v>
      </c>
      <c r="AA19" s="151">
        <v>0</v>
      </c>
      <c r="AB19" s="150">
        <v>2026</v>
      </c>
      <c r="AC19" s="150">
        <v>2026</v>
      </c>
      <c r="AD19" s="150">
        <v>2026</v>
      </c>
    </row>
    <row r="20" spans="1:30" x14ac:dyDescent="0.25">
      <c r="A20" s="121">
        <v>1</v>
      </c>
      <c r="B20" s="148">
        <f>SUBTOTAL(9,$A$19:A20)</f>
        <v>2</v>
      </c>
      <c r="C20" s="149" t="s">
        <v>35</v>
      </c>
      <c r="D20" s="150" t="s">
        <v>113</v>
      </c>
      <c r="E20" s="144">
        <f t="shared" si="3"/>
        <v>774166.4800000001</v>
      </c>
      <c r="F20" s="144">
        <v>0</v>
      </c>
      <c r="G20" s="144">
        <v>0</v>
      </c>
      <c r="H20" s="144">
        <v>0</v>
      </c>
      <c r="I20" s="144">
        <f>644498.99+36836.41</f>
        <v>681335.4</v>
      </c>
      <c r="J20" s="144">
        <v>0</v>
      </c>
      <c r="K20" s="144">
        <v>0</v>
      </c>
      <c r="L20" s="145">
        <v>0</v>
      </c>
      <c r="M20" s="144">
        <v>0</v>
      </c>
      <c r="N20" s="144">
        <v>0</v>
      </c>
      <c r="O20" s="144">
        <v>0</v>
      </c>
      <c r="P20" s="144">
        <v>0</v>
      </c>
      <c r="Q20" s="144">
        <v>0</v>
      </c>
      <c r="R20" s="144">
        <v>0</v>
      </c>
      <c r="S20" s="144">
        <v>0</v>
      </c>
      <c r="T20" s="151">
        <v>0</v>
      </c>
      <c r="U20" s="151">
        <v>0</v>
      </c>
      <c r="V20" s="151">
        <v>0</v>
      </c>
      <c r="W20" s="151">
        <v>0</v>
      </c>
      <c r="X20" s="151">
        <v>0</v>
      </c>
      <c r="Y20" s="153">
        <v>82611.05</v>
      </c>
      <c r="Z20" s="153">
        <f>ROUND(I20*1.5%,2)</f>
        <v>10220.030000000001</v>
      </c>
      <c r="AA20" s="151">
        <v>0</v>
      </c>
      <c r="AB20" s="150">
        <v>2026</v>
      </c>
      <c r="AC20" s="150">
        <v>2026</v>
      </c>
      <c r="AD20" s="150">
        <v>2026</v>
      </c>
    </row>
    <row r="21" spans="1:30" x14ac:dyDescent="0.25">
      <c r="A21" s="121">
        <v>1</v>
      </c>
      <c r="B21" s="148">
        <f>SUBTOTAL(9,$A$19:A21)</f>
        <v>3</v>
      </c>
      <c r="C21" s="154" t="s">
        <v>36</v>
      </c>
      <c r="D21" s="150" t="s">
        <v>113</v>
      </c>
      <c r="E21" s="144">
        <f t="shared" si="3"/>
        <v>4668041.8699999992</v>
      </c>
      <c r="F21" s="151">
        <v>0</v>
      </c>
      <c r="G21" s="151">
        <v>0</v>
      </c>
      <c r="H21" s="151">
        <v>0</v>
      </c>
      <c r="I21" s="151">
        <v>0</v>
      </c>
      <c r="J21" s="151">
        <v>0</v>
      </c>
      <c r="K21" s="151">
        <v>0</v>
      </c>
      <c r="L21" s="152">
        <v>0</v>
      </c>
      <c r="M21" s="151">
        <v>0</v>
      </c>
      <c r="N21" s="151">
        <v>260</v>
      </c>
      <c r="O21" s="153">
        <f>4421716.13+40617.68</f>
        <v>4462333.8099999996</v>
      </c>
      <c r="P21" s="151">
        <v>0</v>
      </c>
      <c r="Q21" s="151">
        <v>0</v>
      </c>
      <c r="R21" s="151">
        <v>0</v>
      </c>
      <c r="S21" s="151">
        <v>0</v>
      </c>
      <c r="T21" s="151">
        <v>0</v>
      </c>
      <c r="U21" s="151">
        <v>0</v>
      </c>
      <c r="V21" s="151">
        <v>0</v>
      </c>
      <c r="W21" s="151">
        <v>0</v>
      </c>
      <c r="X21" s="151">
        <v>0</v>
      </c>
      <c r="Y21" s="153">
        <v>138773.04999999999</v>
      </c>
      <c r="Z21" s="153">
        <f t="shared" ref="Z21:Z26" si="4">ROUND(O21*1.5%,2)</f>
        <v>66935.009999999995</v>
      </c>
      <c r="AA21" s="151">
        <v>0</v>
      </c>
      <c r="AB21" s="150">
        <v>2026</v>
      </c>
      <c r="AC21" s="150">
        <v>2026</v>
      </c>
      <c r="AD21" s="150">
        <v>2026</v>
      </c>
    </row>
    <row r="22" spans="1:30" x14ac:dyDescent="0.25">
      <c r="A22" s="121">
        <v>1</v>
      </c>
      <c r="B22" s="148">
        <f>SUBTOTAL(9,$A$19:A22)</f>
        <v>4</v>
      </c>
      <c r="C22" s="154" t="s">
        <v>37</v>
      </c>
      <c r="D22" s="150" t="s">
        <v>113</v>
      </c>
      <c r="E22" s="144">
        <f t="shared" si="3"/>
        <v>4596225.9799999995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2">
        <v>0</v>
      </c>
      <c r="M22" s="151">
        <v>0</v>
      </c>
      <c r="N22" s="151">
        <v>256</v>
      </c>
      <c r="O22" s="153">
        <f>4350961.56+41517.88</f>
        <v>4392479.4399999995</v>
      </c>
      <c r="P22" s="151">
        <v>0</v>
      </c>
      <c r="Q22" s="151">
        <v>0</v>
      </c>
      <c r="R22" s="151">
        <v>0</v>
      </c>
      <c r="S22" s="151">
        <v>0</v>
      </c>
      <c r="T22" s="151">
        <v>0</v>
      </c>
      <c r="U22" s="151">
        <v>0</v>
      </c>
      <c r="V22" s="151">
        <v>0</v>
      </c>
      <c r="W22" s="151">
        <v>0</v>
      </c>
      <c r="X22" s="151">
        <v>0</v>
      </c>
      <c r="Y22" s="153">
        <v>137859.35</v>
      </c>
      <c r="Z22" s="153">
        <f t="shared" si="4"/>
        <v>65887.19</v>
      </c>
      <c r="AA22" s="151">
        <v>0</v>
      </c>
      <c r="AB22" s="150">
        <v>2026</v>
      </c>
      <c r="AC22" s="150">
        <v>2026</v>
      </c>
      <c r="AD22" s="150">
        <v>2026</v>
      </c>
    </row>
    <row r="23" spans="1:30" x14ac:dyDescent="0.25">
      <c r="A23" s="121">
        <v>1</v>
      </c>
      <c r="B23" s="148">
        <f>SUBTOTAL(9,$A$19:A23)</f>
        <v>5</v>
      </c>
      <c r="C23" s="154" t="s">
        <v>39</v>
      </c>
      <c r="D23" s="150" t="s">
        <v>113</v>
      </c>
      <c r="E23" s="144">
        <f t="shared" si="3"/>
        <v>5617700</v>
      </c>
      <c r="F23" s="144">
        <v>0</v>
      </c>
      <c r="G23" s="144">
        <v>0</v>
      </c>
      <c r="H23" s="144">
        <v>0</v>
      </c>
      <c r="I23" s="144">
        <v>0</v>
      </c>
      <c r="J23" s="144">
        <v>0</v>
      </c>
      <c r="K23" s="144">
        <v>0</v>
      </c>
      <c r="L23" s="145">
        <v>0</v>
      </c>
      <c r="M23" s="144">
        <v>0</v>
      </c>
      <c r="N23" s="153">
        <v>590</v>
      </c>
      <c r="O23" s="153">
        <v>5534679.7999999998</v>
      </c>
      <c r="P23" s="144">
        <v>0</v>
      </c>
      <c r="Q23" s="144">
        <v>0</v>
      </c>
      <c r="R23" s="144">
        <v>0</v>
      </c>
      <c r="S23" s="144">
        <v>0</v>
      </c>
      <c r="T23" s="151">
        <v>0</v>
      </c>
      <c r="U23" s="151">
        <v>0</v>
      </c>
      <c r="V23" s="151">
        <v>0</v>
      </c>
      <c r="W23" s="151">
        <v>0</v>
      </c>
      <c r="X23" s="151">
        <v>0</v>
      </c>
      <c r="Y23" s="153">
        <v>0</v>
      </c>
      <c r="Z23" s="153">
        <f t="shared" si="4"/>
        <v>83020.2</v>
      </c>
      <c r="AA23" s="151">
        <v>0</v>
      </c>
      <c r="AB23" s="146" t="s">
        <v>425</v>
      </c>
      <c r="AC23" s="150">
        <v>2026</v>
      </c>
      <c r="AD23" s="150">
        <v>2026</v>
      </c>
    </row>
    <row r="24" spans="1:30" x14ac:dyDescent="0.25">
      <c r="A24" s="121">
        <v>1</v>
      </c>
      <c r="B24" s="148">
        <f>SUBTOTAL(9,$A$19:A24)</f>
        <v>6</v>
      </c>
      <c r="C24" s="154" t="s">
        <v>40</v>
      </c>
      <c r="D24" s="150" t="s">
        <v>113</v>
      </c>
      <c r="E24" s="144">
        <f t="shared" si="3"/>
        <v>7113000.9800000004</v>
      </c>
      <c r="F24" s="144">
        <v>0</v>
      </c>
      <c r="G24" s="144">
        <v>0</v>
      </c>
      <c r="H24" s="144">
        <v>0</v>
      </c>
      <c r="I24" s="144">
        <v>0</v>
      </c>
      <c r="J24" s="144">
        <v>0</v>
      </c>
      <c r="K24" s="144">
        <v>0</v>
      </c>
      <c r="L24" s="145">
        <v>0</v>
      </c>
      <c r="M24" s="144">
        <v>0</v>
      </c>
      <c r="N24" s="153">
        <v>550</v>
      </c>
      <c r="O24" s="153">
        <f>6810838.4-21.95</f>
        <v>6810816.4500000002</v>
      </c>
      <c r="P24" s="144">
        <v>0</v>
      </c>
      <c r="Q24" s="144">
        <v>0</v>
      </c>
      <c r="R24" s="144">
        <v>0</v>
      </c>
      <c r="S24" s="144">
        <v>0</v>
      </c>
      <c r="T24" s="151">
        <v>0</v>
      </c>
      <c r="U24" s="151">
        <v>0</v>
      </c>
      <c r="V24" s="151">
        <v>0</v>
      </c>
      <c r="W24" s="151">
        <v>0</v>
      </c>
      <c r="X24" s="151">
        <v>0</v>
      </c>
      <c r="Y24" s="153">
        <v>200022.28</v>
      </c>
      <c r="Z24" s="153">
        <f t="shared" si="4"/>
        <v>102162.25</v>
      </c>
      <c r="AA24" s="151">
        <v>0</v>
      </c>
      <c r="AB24" s="150">
        <v>2026</v>
      </c>
      <c r="AC24" s="150">
        <v>2026</v>
      </c>
      <c r="AD24" s="150">
        <v>2026</v>
      </c>
    </row>
    <row r="25" spans="1:30" x14ac:dyDescent="0.25">
      <c r="A25" s="121">
        <v>1</v>
      </c>
      <c r="B25" s="148">
        <f>SUBTOTAL(9,$A$19:A25)</f>
        <v>7</v>
      </c>
      <c r="C25" s="154" t="s">
        <v>41</v>
      </c>
      <c r="D25" s="150" t="s">
        <v>113</v>
      </c>
      <c r="E25" s="144">
        <f t="shared" si="3"/>
        <v>6487920.0800000001</v>
      </c>
      <c r="F25" s="151">
        <v>0</v>
      </c>
      <c r="G25" s="151">
        <v>0</v>
      </c>
      <c r="H25" s="151">
        <v>0</v>
      </c>
      <c r="I25" s="151">
        <v>0</v>
      </c>
      <c r="J25" s="151">
        <v>0</v>
      </c>
      <c r="K25" s="151">
        <v>0</v>
      </c>
      <c r="L25" s="152">
        <v>0</v>
      </c>
      <c r="M25" s="151">
        <v>0</v>
      </c>
      <c r="N25" s="151">
        <v>756</v>
      </c>
      <c r="O25" s="153">
        <v>6121414.0099999998</v>
      </c>
      <c r="P25" s="151">
        <v>0</v>
      </c>
      <c r="Q25" s="151">
        <v>0</v>
      </c>
      <c r="R25" s="153">
        <v>0</v>
      </c>
      <c r="S25" s="153">
        <v>0</v>
      </c>
      <c r="T25" s="151">
        <v>0</v>
      </c>
      <c r="U25" s="151">
        <v>0</v>
      </c>
      <c r="V25" s="151">
        <v>0</v>
      </c>
      <c r="W25" s="151">
        <v>0</v>
      </c>
      <c r="X25" s="151">
        <v>0</v>
      </c>
      <c r="Y25" s="153">
        <v>274684.86</v>
      </c>
      <c r="Z25" s="153">
        <f t="shared" si="4"/>
        <v>91821.21</v>
      </c>
      <c r="AA25" s="151">
        <v>0</v>
      </c>
      <c r="AB25" s="150">
        <v>2026</v>
      </c>
      <c r="AC25" s="150">
        <v>2026</v>
      </c>
      <c r="AD25" s="150">
        <v>2026</v>
      </c>
    </row>
    <row r="26" spans="1:30" x14ac:dyDescent="0.25">
      <c r="A26" s="121">
        <v>1</v>
      </c>
      <c r="B26" s="148">
        <f>SUBTOTAL(9,$A$19:A26)</f>
        <v>8</v>
      </c>
      <c r="C26" s="154" t="s">
        <v>42</v>
      </c>
      <c r="D26" s="150" t="s">
        <v>113</v>
      </c>
      <c r="E26" s="144">
        <f t="shared" si="3"/>
        <v>5718663.46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5">
        <v>0</v>
      </c>
      <c r="M26" s="144">
        <v>0</v>
      </c>
      <c r="N26" s="153">
        <v>591.21</v>
      </c>
      <c r="O26" s="153">
        <v>5634151.1900000004</v>
      </c>
      <c r="P26" s="144">
        <v>0</v>
      </c>
      <c r="Q26" s="144">
        <v>0</v>
      </c>
      <c r="R26" s="144">
        <v>0</v>
      </c>
      <c r="S26" s="144">
        <v>0</v>
      </c>
      <c r="T26" s="151">
        <v>0</v>
      </c>
      <c r="U26" s="151">
        <v>0</v>
      </c>
      <c r="V26" s="151">
        <v>0</v>
      </c>
      <c r="W26" s="151">
        <v>0</v>
      </c>
      <c r="X26" s="151">
        <v>0</v>
      </c>
      <c r="Y26" s="153">
        <v>0</v>
      </c>
      <c r="Z26" s="153">
        <f t="shared" si="4"/>
        <v>84512.27</v>
      </c>
      <c r="AA26" s="151">
        <v>0</v>
      </c>
      <c r="AB26" s="146" t="s">
        <v>425</v>
      </c>
      <c r="AC26" s="150">
        <v>2026</v>
      </c>
      <c r="AD26" s="150">
        <v>2026</v>
      </c>
    </row>
    <row r="27" spans="1:30" x14ac:dyDescent="0.25">
      <c r="A27" s="121">
        <v>1</v>
      </c>
      <c r="B27" s="148">
        <f>SUBTOTAL(9,$A$19:A27)</f>
        <v>9</v>
      </c>
      <c r="C27" s="154" t="s">
        <v>43</v>
      </c>
      <c r="D27" s="150" t="s">
        <v>113</v>
      </c>
      <c r="E27" s="144">
        <f t="shared" si="3"/>
        <v>8965837.4900000002</v>
      </c>
      <c r="F27" s="151">
        <v>0</v>
      </c>
      <c r="G27" s="151">
        <v>0</v>
      </c>
      <c r="H27" s="151">
        <v>0</v>
      </c>
      <c r="I27" s="151">
        <v>0</v>
      </c>
      <c r="J27" s="151">
        <v>0</v>
      </c>
      <c r="K27" s="151">
        <v>0</v>
      </c>
      <c r="L27" s="152">
        <v>0</v>
      </c>
      <c r="M27" s="151">
        <v>0</v>
      </c>
      <c r="N27" s="144">
        <v>0</v>
      </c>
      <c r="O27" s="144">
        <v>0</v>
      </c>
      <c r="P27" s="151">
        <v>0</v>
      </c>
      <c r="Q27" s="151">
        <v>0</v>
      </c>
      <c r="R27" s="153">
        <v>783</v>
      </c>
      <c r="S27" s="153">
        <v>8597054.9399999995</v>
      </c>
      <c r="T27" s="151">
        <v>0</v>
      </c>
      <c r="U27" s="151">
        <v>0</v>
      </c>
      <c r="V27" s="151">
        <v>0</v>
      </c>
      <c r="W27" s="151">
        <v>0</v>
      </c>
      <c r="X27" s="151">
        <v>0</v>
      </c>
      <c r="Y27" s="153">
        <v>239826.73</v>
      </c>
      <c r="Z27" s="155">
        <f>ROUND(S27*1.5%,2)</f>
        <v>128955.82</v>
      </c>
      <c r="AA27" s="151">
        <v>0</v>
      </c>
      <c r="AB27" s="150">
        <v>2026</v>
      </c>
      <c r="AC27" s="150">
        <v>2026</v>
      </c>
      <c r="AD27" s="150">
        <v>2026</v>
      </c>
    </row>
    <row r="28" spans="1:30" x14ac:dyDescent="0.25">
      <c r="A28" s="121">
        <v>1</v>
      </c>
      <c r="B28" s="148">
        <f>SUBTOTAL(9,$A$19:A28)</f>
        <v>10</v>
      </c>
      <c r="C28" s="154" t="s">
        <v>44</v>
      </c>
      <c r="D28" s="150" t="s">
        <v>113</v>
      </c>
      <c r="E28" s="144">
        <f t="shared" si="3"/>
        <v>4774194.78</v>
      </c>
      <c r="F28" s="151">
        <v>0</v>
      </c>
      <c r="G28" s="151">
        <v>0</v>
      </c>
      <c r="H28" s="151">
        <v>0</v>
      </c>
      <c r="I28" s="151">
        <v>0</v>
      </c>
      <c r="J28" s="151">
        <v>0</v>
      </c>
      <c r="K28" s="151">
        <v>0</v>
      </c>
      <c r="L28" s="152">
        <v>0</v>
      </c>
      <c r="M28" s="151">
        <v>0</v>
      </c>
      <c r="N28" s="144">
        <v>628</v>
      </c>
      <c r="O28" s="144">
        <f>3803903.45+702692.39</f>
        <v>4506595.84</v>
      </c>
      <c r="P28" s="151">
        <v>0</v>
      </c>
      <c r="Q28" s="151">
        <v>0</v>
      </c>
      <c r="R28" s="144">
        <v>0</v>
      </c>
      <c r="S28" s="144">
        <v>0</v>
      </c>
      <c r="T28" s="151">
        <v>0</v>
      </c>
      <c r="U28" s="151">
        <v>0</v>
      </c>
      <c r="V28" s="151">
        <v>0</v>
      </c>
      <c r="W28" s="151">
        <v>0</v>
      </c>
      <c r="X28" s="151">
        <v>0</v>
      </c>
      <c r="Y28" s="153">
        <v>200000</v>
      </c>
      <c r="Z28" s="155">
        <f>ROUND(O28*1.5%,2)</f>
        <v>67598.94</v>
      </c>
      <c r="AA28" s="151">
        <v>0</v>
      </c>
      <c r="AB28" s="150">
        <v>2026</v>
      </c>
      <c r="AC28" s="150">
        <v>2026</v>
      </c>
      <c r="AD28" s="150">
        <v>2026</v>
      </c>
    </row>
    <row r="29" spans="1:30" x14ac:dyDescent="0.25">
      <c r="A29" s="121">
        <v>1</v>
      </c>
      <c r="B29" s="148">
        <f>SUBTOTAL(9,$A$19:A29)</f>
        <v>11</v>
      </c>
      <c r="C29" s="154" t="s">
        <v>45</v>
      </c>
      <c r="D29" s="150" t="s">
        <v>113</v>
      </c>
      <c r="E29" s="144">
        <f t="shared" si="3"/>
        <v>10961010.770000001</v>
      </c>
      <c r="F29" s="144">
        <v>0</v>
      </c>
      <c r="G29" s="144">
        <v>0</v>
      </c>
      <c r="H29" s="144">
        <v>5000000</v>
      </c>
      <c r="I29" s="144">
        <v>0</v>
      </c>
      <c r="J29" s="144">
        <v>0</v>
      </c>
      <c r="K29" s="144">
        <v>0</v>
      </c>
      <c r="L29" s="145">
        <v>0</v>
      </c>
      <c r="M29" s="144">
        <v>0</v>
      </c>
      <c r="N29" s="153">
        <v>559</v>
      </c>
      <c r="O29" s="153">
        <f>5601981.05+197044.34</f>
        <v>5799025.3899999997</v>
      </c>
      <c r="P29" s="144">
        <v>0</v>
      </c>
      <c r="Q29" s="144">
        <v>0</v>
      </c>
      <c r="R29" s="144">
        <v>0</v>
      </c>
      <c r="S29" s="144">
        <v>0</v>
      </c>
      <c r="T29" s="151">
        <v>0</v>
      </c>
      <c r="U29" s="151">
        <v>0</v>
      </c>
      <c r="V29" s="151">
        <v>0</v>
      </c>
      <c r="W29" s="151">
        <v>0</v>
      </c>
      <c r="X29" s="151">
        <v>0</v>
      </c>
      <c r="Y29" s="153">
        <v>0</v>
      </c>
      <c r="Z29" s="153">
        <f>ROUND(O29*1.5%,2)+ROUND(H29*1.5%,2)</f>
        <v>161985.38</v>
      </c>
      <c r="AA29" s="151">
        <v>0</v>
      </c>
      <c r="AB29" s="150" t="s">
        <v>425</v>
      </c>
      <c r="AC29" s="150">
        <v>2026</v>
      </c>
      <c r="AD29" s="150">
        <v>2026</v>
      </c>
    </row>
    <row r="30" spans="1:30" x14ac:dyDescent="0.25">
      <c r="A30" s="121">
        <v>1</v>
      </c>
      <c r="B30" s="148">
        <f>SUBTOTAL(9,$A$19:A30)</f>
        <v>12</v>
      </c>
      <c r="C30" s="154" t="s">
        <v>46</v>
      </c>
      <c r="D30" s="150" t="s">
        <v>113</v>
      </c>
      <c r="E30" s="144">
        <f t="shared" si="3"/>
        <v>5485890</v>
      </c>
      <c r="F30" s="144">
        <v>0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5">
        <v>0</v>
      </c>
      <c r="M30" s="144">
        <v>0</v>
      </c>
      <c r="N30" s="153">
        <v>500</v>
      </c>
      <c r="O30" s="153">
        <v>5404817.7300000004</v>
      </c>
      <c r="P30" s="144">
        <v>0</v>
      </c>
      <c r="Q30" s="144">
        <v>0</v>
      </c>
      <c r="R30" s="144">
        <v>0</v>
      </c>
      <c r="S30" s="144">
        <v>0</v>
      </c>
      <c r="T30" s="151">
        <v>0</v>
      </c>
      <c r="U30" s="151">
        <v>0</v>
      </c>
      <c r="V30" s="151">
        <v>0</v>
      </c>
      <c r="W30" s="151">
        <v>0</v>
      </c>
      <c r="X30" s="151">
        <v>0</v>
      </c>
      <c r="Y30" s="153">
        <v>0</v>
      </c>
      <c r="Z30" s="153">
        <f>ROUND(O30*1.5%,2)</f>
        <v>81072.27</v>
      </c>
      <c r="AA30" s="151">
        <v>0</v>
      </c>
      <c r="AB30" s="146" t="s">
        <v>425</v>
      </c>
      <c r="AC30" s="150">
        <v>2026</v>
      </c>
      <c r="AD30" s="150">
        <v>2026</v>
      </c>
    </row>
    <row r="31" spans="1:30" x14ac:dyDescent="0.25">
      <c r="A31" s="121">
        <v>1</v>
      </c>
      <c r="B31" s="148">
        <f>SUBTOTAL(9,$A$19:A31)</f>
        <v>13</v>
      </c>
      <c r="C31" s="154" t="s">
        <v>47</v>
      </c>
      <c r="D31" s="150" t="s">
        <v>113</v>
      </c>
      <c r="E31" s="144">
        <f t="shared" si="3"/>
        <v>8940311.5899999999</v>
      </c>
      <c r="F31" s="144">
        <v>0</v>
      </c>
      <c r="G31" s="144">
        <v>0</v>
      </c>
      <c r="H31" s="144">
        <v>0</v>
      </c>
      <c r="I31" s="144">
        <v>0</v>
      </c>
      <c r="J31" s="144">
        <v>0</v>
      </c>
      <c r="K31" s="144">
        <v>0</v>
      </c>
      <c r="L31" s="145">
        <v>0</v>
      </c>
      <c r="M31" s="144">
        <v>0</v>
      </c>
      <c r="N31" s="153">
        <v>704.3</v>
      </c>
      <c r="O31" s="153">
        <v>8509799.0999999996</v>
      </c>
      <c r="P31" s="144">
        <v>0</v>
      </c>
      <c r="Q31" s="144">
        <v>0</v>
      </c>
      <c r="R31" s="144">
        <v>0</v>
      </c>
      <c r="S31" s="144">
        <v>0</v>
      </c>
      <c r="T31" s="151">
        <v>0</v>
      </c>
      <c r="U31" s="151">
        <v>0</v>
      </c>
      <c r="V31" s="151">
        <v>0</v>
      </c>
      <c r="W31" s="151">
        <v>0</v>
      </c>
      <c r="X31" s="151">
        <v>0</v>
      </c>
      <c r="Y31" s="153">
        <v>302865.5</v>
      </c>
      <c r="Z31" s="153">
        <f>ROUND(O31*1.5%,2)</f>
        <v>127646.99</v>
      </c>
      <c r="AA31" s="151">
        <v>0</v>
      </c>
      <c r="AB31" s="150">
        <v>2026</v>
      </c>
      <c r="AC31" s="150">
        <v>2026</v>
      </c>
      <c r="AD31" s="150">
        <v>2026</v>
      </c>
    </row>
    <row r="32" spans="1:30" x14ac:dyDescent="0.25">
      <c r="A32" s="121">
        <v>1</v>
      </c>
      <c r="B32" s="148">
        <f>SUBTOTAL(9,$A$19:A32)</f>
        <v>14</v>
      </c>
      <c r="C32" s="154" t="s">
        <v>48</v>
      </c>
      <c r="D32" s="150" t="s">
        <v>113</v>
      </c>
      <c r="E32" s="144">
        <f t="shared" si="3"/>
        <v>14344098.030000001</v>
      </c>
      <c r="F32" s="144">
        <v>0</v>
      </c>
      <c r="G32" s="144">
        <v>0</v>
      </c>
      <c r="H32" s="144">
        <v>0</v>
      </c>
      <c r="I32" s="144">
        <v>0</v>
      </c>
      <c r="J32" s="144">
        <v>0</v>
      </c>
      <c r="K32" s="144">
        <v>0</v>
      </c>
      <c r="L32" s="145">
        <v>0</v>
      </c>
      <c r="M32" s="144">
        <v>0</v>
      </c>
      <c r="N32" s="153">
        <v>1130</v>
      </c>
      <c r="O32" s="153">
        <v>13820448.82</v>
      </c>
      <c r="P32" s="144">
        <v>0</v>
      </c>
      <c r="Q32" s="144">
        <v>0</v>
      </c>
      <c r="R32" s="144">
        <v>0</v>
      </c>
      <c r="S32" s="144">
        <v>0</v>
      </c>
      <c r="T32" s="151">
        <v>0</v>
      </c>
      <c r="U32" s="151">
        <v>0</v>
      </c>
      <c r="V32" s="151">
        <v>0</v>
      </c>
      <c r="W32" s="151">
        <v>0</v>
      </c>
      <c r="X32" s="151">
        <v>0</v>
      </c>
      <c r="Y32" s="153">
        <v>316342.48</v>
      </c>
      <c r="Z32" s="153">
        <f>ROUND(O32*1.5%,2)</f>
        <v>207306.73</v>
      </c>
      <c r="AA32" s="151">
        <v>0</v>
      </c>
      <c r="AB32" s="150">
        <v>2026</v>
      </c>
      <c r="AC32" s="150">
        <v>2026</v>
      </c>
      <c r="AD32" s="150">
        <v>2026</v>
      </c>
    </row>
    <row r="33" spans="1:30" x14ac:dyDescent="0.25">
      <c r="A33" s="121">
        <v>1</v>
      </c>
      <c r="B33" s="148">
        <f>SUBTOTAL(9,$A$19:A33)</f>
        <v>15</v>
      </c>
      <c r="C33" s="154" t="s">
        <v>49</v>
      </c>
      <c r="D33" s="150" t="s">
        <v>113</v>
      </c>
      <c r="E33" s="144">
        <f t="shared" si="3"/>
        <v>11157115.149999999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5">
        <v>0</v>
      </c>
      <c r="M33" s="144">
        <v>0</v>
      </c>
      <c r="N33" s="153">
        <v>627</v>
      </c>
      <c r="O33" s="153">
        <f>10893744.8+9208.86-98557.46</f>
        <v>10804396.199999999</v>
      </c>
      <c r="P33" s="144">
        <v>0</v>
      </c>
      <c r="Q33" s="144">
        <v>0</v>
      </c>
      <c r="R33" s="144">
        <v>0</v>
      </c>
      <c r="S33" s="144">
        <v>0</v>
      </c>
      <c r="T33" s="151">
        <v>0</v>
      </c>
      <c r="U33" s="151">
        <v>0</v>
      </c>
      <c r="V33" s="151">
        <v>0</v>
      </c>
      <c r="W33" s="151">
        <v>0</v>
      </c>
      <c r="X33" s="151">
        <v>0</v>
      </c>
      <c r="Y33" s="153">
        <v>190653.01</v>
      </c>
      <c r="Z33" s="153">
        <f>ROUND(O33*1.5%,2)</f>
        <v>162065.94</v>
      </c>
      <c r="AA33" s="151">
        <v>0</v>
      </c>
      <c r="AB33" s="150">
        <v>2026</v>
      </c>
      <c r="AC33" s="150">
        <v>2026</v>
      </c>
      <c r="AD33" s="150">
        <v>2026</v>
      </c>
    </row>
    <row r="34" spans="1:30" x14ac:dyDescent="0.25">
      <c r="A34" s="121">
        <v>1</v>
      </c>
      <c r="B34" s="148">
        <f>SUBTOTAL(9,$A$19:A34)</f>
        <v>16</v>
      </c>
      <c r="C34" s="154" t="s">
        <v>50</v>
      </c>
      <c r="D34" s="150" t="s">
        <v>113</v>
      </c>
      <c r="E34" s="144">
        <f t="shared" si="3"/>
        <v>11436644.6</v>
      </c>
      <c r="F34" s="144">
        <v>0</v>
      </c>
      <c r="G34" s="144">
        <v>0</v>
      </c>
      <c r="H34" s="144">
        <v>0</v>
      </c>
      <c r="I34" s="144">
        <v>0</v>
      </c>
      <c r="J34" s="144">
        <v>0</v>
      </c>
      <c r="K34" s="144">
        <v>0</v>
      </c>
      <c r="L34" s="156">
        <v>3</v>
      </c>
      <c r="M34" s="144">
        <f>3683637.66+3683684.92+3683577.97</f>
        <v>11050900.550000001</v>
      </c>
      <c r="N34" s="144">
        <v>0</v>
      </c>
      <c r="O34" s="144">
        <v>0</v>
      </c>
      <c r="P34" s="144">
        <v>0</v>
      </c>
      <c r="Q34" s="144">
        <v>0</v>
      </c>
      <c r="R34" s="144">
        <v>0</v>
      </c>
      <c r="S34" s="144">
        <v>0</v>
      </c>
      <c r="T34" s="151">
        <v>0</v>
      </c>
      <c r="U34" s="151">
        <v>0</v>
      </c>
      <c r="V34" s="151">
        <v>0</v>
      </c>
      <c r="W34" s="151">
        <v>0</v>
      </c>
      <c r="X34" s="151">
        <v>0</v>
      </c>
      <c r="Y34" s="153">
        <v>219980.54</v>
      </c>
      <c r="Z34" s="153">
        <f>ROUND(M34*1.5%,2)</f>
        <v>165763.51</v>
      </c>
      <c r="AA34" s="151">
        <v>0</v>
      </c>
      <c r="AB34" s="150">
        <v>2026</v>
      </c>
      <c r="AC34" s="150">
        <v>2026</v>
      </c>
      <c r="AD34" s="150">
        <v>2026</v>
      </c>
    </row>
    <row r="35" spans="1:30" x14ac:dyDescent="0.25">
      <c r="A35" s="121">
        <v>1</v>
      </c>
      <c r="B35" s="148">
        <f>SUBTOTAL(9,$A$19:A35)</f>
        <v>17</v>
      </c>
      <c r="C35" s="154" t="s">
        <v>51</v>
      </c>
      <c r="D35" s="150" t="s">
        <v>113</v>
      </c>
      <c r="E35" s="144">
        <f t="shared" si="3"/>
        <v>16915996.48</v>
      </c>
      <c r="F35" s="144">
        <v>0</v>
      </c>
      <c r="G35" s="144">
        <v>0</v>
      </c>
      <c r="H35" s="144">
        <v>0</v>
      </c>
      <c r="I35" s="144">
        <v>0</v>
      </c>
      <c r="J35" s="144">
        <v>0</v>
      </c>
      <c r="K35" s="144">
        <v>0</v>
      </c>
      <c r="L35" s="145">
        <v>0</v>
      </c>
      <c r="M35" s="144">
        <v>0</v>
      </c>
      <c r="N35" s="144">
        <v>1308</v>
      </c>
      <c r="O35" s="144">
        <f>16459109.83-39035.57</f>
        <v>16420074.26</v>
      </c>
      <c r="P35" s="144">
        <v>0</v>
      </c>
      <c r="Q35" s="144">
        <v>0</v>
      </c>
      <c r="R35" s="144">
        <v>0</v>
      </c>
      <c r="S35" s="144">
        <v>0</v>
      </c>
      <c r="T35" s="151">
        <v>0</v>
      </c>
      <c r="U35" s="151">
        <v>0</v>
      </c>
      <c r="V35" s="151">
        <v>0</v>
      </c>
      <c r="W35" s="151">
        <v>0</v>
      </c>
      <c r="X35" s="151">
        <v>0</v>
      </c>
      <c r="Y35" s="153">
        <v>249621.11</v>
      </c>
      <c r="Z35" s="153">
        <f t="shared" ref="Z35:Z41" si="5">ROUND(O35*1.5%,2)</f>
        <v>246301.11</v>
      </c>
      <c r="AA35" s="151">
        <v>0</v>
      </c>
      <c r="AB35" s="150">
        <v>2026</v>
      </c>
      <c r="AC35" s="150">
        <v>2026</v>
      </c>
      <c r="AD35" s="150">
        <v>2026</v>
      </c>
    </row>
    <row r="36" spans="1:30" x14ac:dyDescent="0.25">
      <c r="A36" s="121">
        <v>1</v>
      </c>
      <c r="B36" s="148">
        <f>SUBTOTAL(9,$A$19:A36)</f>
        <v>18</v>
      </c>
      <c r="C36" s="154" t="s">
        <v>52</v>
      </c>
      <c r="D36" s="150" t="s">
        <v>113</v>
      </c>
      <c r="E36" s="144">
        <f t="shared" si="3"/>
        <v>10535986.15</v>
      </c>
      <c r="F36" s="144">
        <v>0</v>
      </c>
      <c r="G36" s="144">
        <v>0</v>
      </c>
      <c r="H36" s="144">
        <v>0</v>
      </c>
      <c r="I36" s="144">
        <v>0</v>
      </c>
      <c r="J36" s="144">
        <v>0</v>
      </c>
      <c r="K36" s="144">
        <v>0</v>
      </c>
      <c r="L36" s="145">
        <v>0</v>
      </c>
      <c r="M36" s="144">
        <v>0</v>
      </c>
      <c r="N36" s="144">
        <v>3157</v>
      </c>
      <c r="O36" s="144">
        <f>10380281.92</f>
        <v>10380281.92</v>
      </c>
      <c r="P36" s="144">
        <v>0</v>
      </c>
      <c r="Q36" s="144">
        <v>0</v>
      </c>
      <c r="R36" s="144">
        <v>0</v>
      </c>
      <c r="S36" s="144">
        <v>0</v>
      </c>
      <c r="T36" s="151">
        <v>0</v>
      </c>
      <c r="U36" s="151">
        <v>0</v>
      </c>
      <c r="V36" s="151">
        <v>0</v>
      </c>
      <c r="W36" s="151">
        <v>0</v>
      </c>
      <c r="X36" s="151">
        <v>0</v>
      </c>
      <c r="Y36" s="153">
        <v>0</v>
      </c>
      <c r="Z36" s="153">
        <f t="shared" si="5"/>
        <v>155704.23000000001</v>
      </c>
      <c r="AA36" s="151">
        <v>0</v>
      </c>
      <c r="AB36" s="146" t="s">
        <v>425</v>
      </c>
      <c r="AC36" s="150">
        <v>2026</v>
      </c>
      <c r="AD36" s="150">
        <v>2026</v>
      </c>
    </row>
    <row r="37" spans="1:30" x14ac:dyDescent="0.25">
      <c r="A37" s="121">
        <v>1</v>
      </c>
      <c r="B37" s="148">
        <f>SUBTOTAL(9,$A$19:A37)</f>
        <v>19</v>
      </c>
      <c r="C37" s="154" t="s">
        <v>53</v>
      </c>
      <c r="D37" s="150" t="s">
        <v>113</v>
      </c>
      <c r="E37" s="144">
        <f t="shared" si="3"/>
        <v>6518096.2699999986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5">
        <v>0</v>
      </c>
      <c r="M37" s="144">
        <v>0</v>
      </c>
      <c r="N37" s="144">
        <v>504</v>
      </c>
      <c r="O37" s="144">
        <f>6224725.39-41077.65</f>
        <v>6183647.7399999993</v>
      </c>
      <c r="P37" s="144">
        <v>0</v>
      </c>
      <c r="Q37" s="144">
        <v>0</v>
      </c>
      <c r="R37" s="144">
        <v>0</v>
      </c>
      <c r="S37" s="144">
        <v>0</v>
      </c>
      <c r="T37" s="151">
        <v>0</v>
      </c>
      <c r="U37" s="151">
        <v>0</v>
      </c>
      <c r="V37" s="151">
        <v>0</v>
      </c>
      <c r="W37" s="151">
        <v>0</v>
      </c>
      <c r="X37" s="151">
        <v>0</v>
      </c>
      <c r="Y37" s="153">
        <v>241693.81</v>
      </c>
      <c r="Z37" s="153">
        <f t="shared" si="5"/>
        <v>92754.72</v>
      </c>
      <c r="AA37" s="151">
        <v>0</v>
      </c>
      <c r="AB37" s="150">
        <v>2026</v>
      </c>
      <c r="AC37" s="150">
        <v>2026</v>
      </c>
      <c r="AD37" s="150">
        <v>2026</v>
      </c>
    </row>
    <row r="38" spans="1:30" x14ac:dyDescent="0.25">
      <c r="A38" s="121">
        <v>1</v>
      </c>
      <c r="B38" s="148">
        <f>SUBTOTAL(9,$A$19:A38)</f>
        <v>20</v>
      </c>
      <c r="C38" s="154" t="s">
        <v>54</v>
      </c>
      <c r="D38" s="150" t="s">
        <v>113</v>
      </c>
      <c r="E38" s="144">
        <f t="shared" si="3"/>
        <v>17390629.430000003</v>
      </c>
      <c r="F38" s="151">
        <v>0</v>
      </c>
      <c r="G38" s="151">
        <v>0</v>
      </c>
      <c r="H38" s="151">
        <v>0</v>
      </c>
      <c r="I38" s="151">
        <v>0</v>
      </c>
      <c r="J38" s="151">
        <v>0</v>
      </c>
      <c r="K38" s="151">
        <v>0</v>
      </c>
      <c r="L38" s="152">
        <v>0</v>
      </c>
      <c r="M38" s="151">
        <v>0</v>
      </c>
      <c r="N38" s="151">
        <v>1370</v>
      </c>
      <c r="O38" s="153">
        <v>16589073.370000001</v>
      </c>
      <c r="P38" s="151">
        <v>0</v>
      </c>
      <c r="Q38" s="151">
        <v>0</v>
      </c>
      <c r="R38" s="151">
        <v>0</v>
      </c>
      <c r="S38" s="151">
        <v>0</v>
      </c>
      <c r="T38" s="151">
        <v>0</v>
      </c>
      <c r="U38" s="151">
        <v>0</v>
      </c>
      <c r="V38" s="151">
        <v>0</v>
      </c>
      <c r="W38" s="151">
        <v>0</v>
      </c>
      <c r="X38" s="151">
        <v>0</v>
      </c>
      <c r="Y38" s="153">
        <v>552719.96</v>
      </c>
      <c r="Z38" s="153">
        <f t="shared" si="5"/>
        <v>248836.1</v>
      </c>
      <c r="AA38" s="151">
        <v>0</v>
      </c>
      <c r="AB38" s="150">
        <v>2026</v>
      </c>
      <c r="AC38" s="150">
        <v>2026</v>
      </c>
      <c r="AD38" s="150">
        <v>2026</v>
      </c>
    </row>
    <row r="39" spans="1:30" x14ac:dyDescent="0.25">
      <c r="A39" s="121">
        <v>1</v>
      </c>
      <c r="B39" s="148">
        <f>SUBTOTAL(9,$A$19:A39)</f>
        <v>21</v>
      </c>
      <c r="C39" s="154" t="s">
        <v>55</v>
      </c>
      <c r="D39" s="150" t="s">
        <v>113</v>
      </c>
      <c r="E39" s="144">
        <f t="shared" si="3"/>
        <v>7565564.080000001</v>
      </c>
      <c r="F39" s="151">
        <v>0</v>
      </c>
      <c r="G39" s="151">
        <v>0</v>
      </c>
      <c r="H39" s="151">
        <v>0</v>
      </c>
      <c r="I39" s="151">
        <v>0</v>
      </c>
      <c r="J39" s="151">
        <v>0</v>
      </c>
      <c r="K39" s="151">
        <v>0</v>
      </c>
      <c r="L39" s="152">
        <v>0</v>
      </c>
      <c r="M39" s="151">
        <v>0</v>
      </c>
      <c r="N39" s="153">
        <v>596</v>
      </c>
      <c r="O39" s="153">
        <v>7228812.4500000002</v>
      </c>
      <c r="P39" s="151">
        <v>0</v>
      </c>
      <c r="Q39" s="151">
        <v>0</v>
      </c>
      <c r="R39" s="153">
        <v>0</v>
      </c>
      <c r="S39" s="153">
        <v>0</v>
      </c>
      <c r="T39" s="151">
        <v>0</v>
      </c>
      <c r="U39" s="151">
        <v>0</v>
      </c>
      <c r="V39" s="151">
        <v>0</v>
      </c>
      <c r="W39" s="151">
        <v>0</v>
      </c>
      <c r="X39" s="151">
        <v>0</v>
      </c>
      <c r="Y39" s="153">
        <v>228319.44</v>
      </c>
      <c r="Z39" s="153">
        <f t="shared" si="5"/>
        <v>108432.19</v>
      </c>
      <c r="AA39" s="151">
        <v>0</v>
      </c>
      <c r="AB39" s="150">
        <v>2026</v>
      </c>
      <c r="AC39" s="150">
        <v>2026</v>
      </c>
      <c r="AD39" s="150">
        <v>2026</v>
      </c>
    </row>
    <row r="40" spans="1:30" x14ac:dyDescent="0.25">
      <c r="A40" s="121">
        <v>1</v>
      </c>
      <c r="B40" s="148">
        <f>SUBTOTAL(9,$A$19:A40)</f>
        <v>22</v>
      </c>
      <c r="C40" s="154" t="s">
        <v>56</v>
      </c>
      <c r="D40" s="150" t="s">
        <v>113</v>
      </c>
      <c r="E40" s="144">
        <f t="shared" si="3"/>
        <v>7400543.5999999996</v>
      </c>
      <c r="F40" s="144">
        <v>0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5">
        <v>0</v>
      </c>
      <c r="M40" s="144">
        <v>0</v>
      </c>
      <c r="N40" s="153">
        <v>583</v>
      </c>
      <c r="O40" s="153">
        <f>7094131.63-79324.77</f>
        <v>7014806.8600000003</v>
      </c>
      <c r="P40" s="144">
        <v>0</v>
      </c>
      <c r="Q40" s="144">
        <v>0</v>
      </c>
      <c r="R40" s="144">
        <v>0</v>
      </c>
      <c r="S40" s="144">
        <v>0</v>
      </c>
      <c r="T40" s="151">
        <v>0</v>
      </c>
      <c r="U40" s="151">
        <v>0</v>
      </c>
      <c r="V40" s="151">
        <v>0</v>
      </c>
      <c r="W40" s="151">
        <v>0</v>
      </c>
      <c r="X40" s="151">
        <v>0</v>
      </c>
      <c r="Y40" s="153">
        <v>280514.64</v>
      </c>
      <c r="Z40" s="153">
        <f t="shared" si="5"/>
        <v>105222.1</v>
      </c>
      <c r="AA40" s="151">
        <v>0</v>
      </c>
      <c r="AB40" s="150">
        <v>2026</v>
      </c>
      <c r="AC40" s="150">
        <v>2026</v>
      </c>
      <c r="AD40" s="150">
        <v>2026</v>
      </c>
    </row>
    <row r="41" spans="1:30" x14ac:dyDescent="0.25">
      <c r="A41" s="121">
        <v>1</v>
      </c>
      <c r="B41" s="148">
        <f>SUBTOTAL(9,$A$19:A41)</f>
        <v>23</v>
      </c>
      <c r="C41" s="154" t="s">
        <v>57</v>
      </c>
      <c r="D41" s="150" t="s">
        <v>113</v>
      </c>
      <c r="E41" s="144">
        <f t="shared" si="3"/>
        <v>15486547</v>
      </c>
      <c r="F41" s="144">
        <v>0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5">
        <v>0</v>
      </c>
      <c r="M41" s="144">
        <v>0</v>
      </c>
      <c r="N41" s="144">
        <v>1220</v>
      </c>
      <c r="O41" s="144">
        <f>15060637.44-224013.11</f>
        <v>14836624.33</v>
      </c>
      <c r="P41" s="144">
        <v>0</v>
      </c>
      <c r="Q41" s="144">
        <v>0</v>
      </c>
      <c r="R41" s="144">
        <v>0</v>
      </c>
      <c r="S41" s="144">
        <v>0</v>
      </c>
      <c r="T41" s="151">
        <v>0</v>
      </c>
      <c r="U41" s="151">
        <v>0</v>
      </c>
      <c r="V41" s="151">
        <v>0</v>
      </c>
      <c r="W41" s="151">
        <v>0</v>
      </c>
      <c r="X41" s="151">
        <v>0</v>
      </c>
      <c r="Y41" s="153">
        <v>427373.31</v>
      </c>
      <c r="Z41" s="153">
        <f t="shared" si="5"/>
        <v>222549.36</v>
      </c>
      <c r="AA41" s="151">
        <v>0</v>
      </c>
      <c r="AB41" s="150">
        <v>2026</v>
      </c>
      <c r="AC41" s="150">
        <v>2026</v>
      </c>
      <c r="AD41" s="150">
        <v>2026</v>
      </c>
    </row>
    <row r="42" spans="1:30" x14ac:dyDescent="0.25">
      <c r="A42" s="121">
        <v>1</v>
      </c>
      <c r="B42" s="148">
        <f>SUBTOTAL(9,$A$19:A42)</f>
        <v>24</v>
      </c>
      <c r="C42" s="154" t="s">
        <v>38</v>
      </c>
      <c r="D42" s="150" t="s">
        <v>113</v>
      </c>
      <c r="E42" s="144">
        <f t="shared" si="3"/>
        <v>12323380.82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1">
        <v>0</v>
      </c>
      <c r="L42" s="152">
        <v>0</v>
      </c>
      <c r="M42" s="151">
        <v>0</v>
      </c>
      <c r="N42" s="144">
        <v>0</v>
      </c>
      <c r="O42" s="144">
        <v>0</v>
      </c>
      <c r="P42" s="151">
        <v>0</v>
      </c>
      <c r="Q42" s="151">
        <v>0</v>
      </c>
      <c r="R42" s="151">
        <v>1073.9000000000001</v>
      </c>
      <c r="S42" s="151">
        <v>11869376.17</v>
      </c>
      <c r="T42" s="151">
        <v>0</v>
      </c>
      <c r="U42" s="151">
        <v>0</v>
      </c>
      <c r="V42" s="151">
        <v>0</v>
      </c>
      <c r="W42" s="151">
        <v>0</v>
      </c>
      <c r="X42" s="151">
        <v>0</v>
      </c>
      <c r="Y42" s="153">
        <v>200000</v>
      </c>
      <c r="Z42" s="153">
        <v>254004.65</v>
      </c>
      <c r="AA42" s="151">
        <v>0</v>
      </c>
      <c r="AB42" s="150">
        <v>2026</v>
      </c>
      <c r="AC42" s="150">
        <v>2026</v>
      </c>
      <c r="AD42" s="150">
        <v>2026</v>
      </c>
    </row>
    <row r="43" spans="1:30" x14ac:dyDescent="0.3">
      <c r="A43" s="121">
        <v>1</v>
      </c>
      <c r="B43" s="148">
        <f>SUBTOTAL(9,$A$19:A43)</f>
        <v>25</v>
      </c>
      <c r="C43" s="157" t="s">
        <v>699</v>
      </c>
      <c r="D43" s="132" t="s">
        <v>113</v>
      </c>
      <c r="E43" s="144">
        <f t="shared" si="3"/>
        <v>36970099.490000002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58">
        <v>0</v>
      </c>
      <c r="L43" s="159">
        <v>0</v>
      </c>
      <c r="M43" s="158">
        <v>0</v>
      </c>
      <c r="N43" s="153">
        <v>910</v>
      </c>
      <c r="O43" s="153">
        <f>15929973-18.5</f>
        <v>15929954.5</v>
      </c>
      <c r="P43" s="158">
        <v>0</v>
      </c>
      <c r="Q43" s="158">
        <v>0</v>
      </c>
      <c r="R43" s="153">
        <v>1721.05</v>
      </c>
      <c r="S43" s="153">
        <v>19291246.210000001</v>
      </c>
      <c r="T43" s="158">
        <v>0</v>
      </c>
      <c r="U43" s="158">
        <v>0</v>
      </c>
      <c r="V43" s="158">
        <v>0</v>
      </c>
      <c r="W43" s="158">
        <v>0</v>
      </c>
      <c r="X43" s="158">
        <v>0</v>
      </c>
      <c r="Y43" s="153">
        <v>880580.77</v>
      </c>
      <c r="Z43" s="160">
        <f>ROUND(O43*1.5%,2)+ROUND(S43*1.5%,2)</f>
        <v>528318.01</v>
      </c>
      <c r="AA43" s="158">
        <v>340000</v>
      </c>
      <c r="AB43" s="132">
        <v>2026</v>
      </c>
      <c r="AC43" s="150">
        <v>2026</v>
      </c>
      <c r="AD43" s="150">
        <v>2026</v>
      </c>
    </row>
    <row r="44" spans="1:30" x14ac:dyDescent="0.3">
      <c r="A44" s="121">
        <v>1</v>
      </c>
      <c r="B44" s="148">
        <f>SUBTOTAL(9,$A$19:A44)</f>
        <v>26</v>
      </c>
      <c r="C44" s="161" t="s">
        <v>700</v>
      </c>
      <c r="D44" s="132" t="s">
        <v>113</v>
      </c>
      <c r="E44" s="144">
        <f t="shared" si="3"/>
        <v>28232008.18</v>
      </c>
      <c r="F44" s="158">
        <v>0</v>
      </c>
      <c r="G44" s="158">
        <v>0</v>
      </c>
      <c r="H44" s="158">
        <v>0</v>
      </c>
      <c r="I44" s="158">
        <v>0</v>
      </c>
      <c r="J44" s="158">
        <v>0</v>
      </c>
      <c r="K44" s="158">
        <v>0</v>
      </c>
      <c r="L44" s="159">
        <v>0</v>
      </c>
      <c r="M44" s="158">
        <v>0</v>
      </c>
      <c r="N44" s="153">
        <v>0</v>
      </c>
      <c r="O44" s="153">
        <v>0</v>
      </c>
      <c r="P44" s="158">
        <v>0</v>
      </c>
      <c r="Q44" s="158">
        <v>0</v>
      </c>
      <c r="R44" s="153">
        <v>2990</v>
      </c>
      <c r="S44" s="153">
        <v>27414422.640000001</v>
      </c>
      <c r="T44" s="158">
        <v>0</v>
      </c>
      <c r="U44" s="158">
        <v>0</v>
      </c>
      <c r="V44" s="158">
        <v>0</v>
      </c>
      <c r="W44" s="158">
        <v>0</v>
      </c>
      <c r="X44" s="158">
        <v>0</v>
      </c>
      <c r="Y44" s="153">
        <v>406369.2</v>
      </c>
      <c r="Z44" s="160">
        <f t="shared" ref="Z44:Z49" si="6">ROUND(S44*1.5%,2)</f>
        <v>411216.34</v>
      </c>
      <c r="AA44" s="158">
        <v>0</v>
      </c>
      <c r="AB44" s="132">
        <v>2026</v>
      </c>
      <c r="AC44" s="150">
        <v>2026</v>
      </c>
      <c r="AD44" s="150">
        <v>2026</v>
      </c>
    </row>
    <row r="45" spans="1:30" x14ac:dyDescent="0.3">
      <c r="A45" s="121">
        <v>1</v>
      </c>
      <c r="B45" s="148">
        <f>SUBTOTAL(9,$A$19:A45)</f>
        <v>27</v>
      </c>
      <c r="C45" s="161" t="s">
        <v>749</v>
      </c>
      <c r="D45" s="132"/>
      <c r="E45" s="144">
        <f t="shared" si="3"/>
        <v>16814441.57</v>
      </c>
      <c r="F45" s="158">
        <v>0</v>
      </c>
      <c r="G45" s="158">
        <v>0</v>
      </c>
      <c r="H45" s="158">
        <v>0</v>
      </c>
      <c r="I45" s="158">
        <v>0</v>
      </c>
      <c r="J45" s="158">
        <v>0</v>
      </c>
      <c r="K45" s="158">
        <v>0</v>
      </c>
      <c r="L45" s="159">
        <v>0</v>
      </c>
      <c r="M45" s="158">
        <v>0</v>
      </c>
      <c r="N45" s="153">
        <v>0</v>
      </c>
      <c r="O45" s="153">
        <v>0</v>
      </c>
      <c r="P45" s="158">
        <v>0</v>
      </c>
      <c r="Q45" s="158">
        <v>0</v>
      </c>
      <c r="R45" s="153">
        <v>2783</v>
      </c>
      <c r="S45" s="153">
        <v>16565952.289999999</v>
      </c>
      <c r="T45" s="158">
        <v>0</v>
      </c>
      <c r="U45" s="158">
        <v>0</v>
      </c>
      <c r="V45" s="158">
        <v>0</v>
      </c>
      <c r="W45" s="158">
        <v>0</v>
      </c>
      <c r="X45" s="158">
        <v>0</v>
      </c>
      <c r="Y45" s="153">
        <v>0</v>
      </c>
      <c r="Z45" s="160">
        <f t="shared" si="6"/>
        <v>248489.28</v>
      </c>
      <c r="AA45" s="158">
        <v>0</v>
      </c>
      <c r="AB45" s="132" t="s">
        <v>425</v>
      </c>
      <c r="AC45" s="132">
        <v>2026</v>
      </c>
      <c r="AD45" s="132">
        <v>2026</v>
      </c>
    </row>
    <row r="46" spans="1:30" x14ac:dyDescent="0.3">
      <c r="A46" s="121">
        <v>1</v>
      </c>
      <c r="B46" s="148">
        <f>SUBTOTAL(9,$A$19:A46)</f>
        <v>28</v>
      </c>
      <c r="C46" s="161" t="s">
        <v>750</v>
      </c>
      <c r="D46" s="132"/>
      <c r="E46" s="144">
        <f t="shared" si="3"/>
        <v>14698140.860000001</v>
      </c>
      <c r="F46" s="158">
        <v>0</v>
      </c>
      <c r="G46" s="158">
        <v>0</v>
      </c>
      <c r="H46" s="158">
        <v>0</v>
      </c>
      <c r="I46" s="158">
        <v>0</v>
      </c>
      <c r="J46" s="158">
        <v>0</v>
      </c>
      <c r="K46" s="158">
        <v>0</v>
      </c>
      <c r="L46" s="159">
        <v>0</v>
      </c>
      <c r="M46" s="158">
        <v>0</v>
      </c>
      <c r="N46" s="153">
        <v>0</v>
      </c>
      <c r="O46" s="153">
        <v>0</v>
      </c>
      <c r="P46" s="158">
        <v>0</v>
      </c>
      <c r="Q46" s="158">
        <v>0</v>
      </c>
      <c r="R46" s="153">
        <v>2553.36</v>
      </c>
      <c r="S46" s="153">
        <v>14480926.960000001</v>
      </c>
      <c r="T46" s="158">
        <v>0</v>
      </c>
      <c r="U46" s="158">
        <v>0</v>
      </c>
      <c r="V46" s="158">
        <v>0</v>
      </c>
      <c r="W46" s="158">
        <v>0</v>
      </c>
      <c r="X46" s="158">
        <v>0</v>
      </c>
      <c r="Y46" s="153">
        <v>0</v>
      </c>
      <c r="Z46" s="160">
        <f t="shared" si="6"/>
        <v>217213.9</v>
      </c>
      <c r="AA46" s="158">
        <v>0</v>
      </c>
      <c r="AB46" s="132" t="s">
        <v>425</v>
      </c>
      <c r="AC46" s="132">
        <v>2026</v>
      </c>
      <c r="AD46" s="132">
        <v>2026</v>
      </c>
    </row>
    <row r="47" spans="1:30" x14ac:dyDescent="0.3">
      <c r="A47" s="121">
        <v>1</v>
      </c>
      <c r="B47" s="148">
        <f>SUBTOTAL(9,$A$19:A47)</f>
        <v>29</v>
      </c>
      <c r="C47" s="161" t="s">
        <v>751</v>
      </c>
      <c r="D47" s="132"/>
      <c r="E47" s="144">
        <f t="shared" si="3"/>
        <v>3268778.52</v>
      </c>
      <c r="F47" s="158">
        <v>0</v>
      </c>
      <c r="G47" s="158">
        <v>0</v>
      </c>
      <c r="H47" s="158">
        <v>0</v>
      </c>
      <c r="I47" s="158">
        <v>0</v>
      </c>
      <c r="J47" s="158">
        <v>0</v>
      </c>
      <c r="K47" s="158">
        <v>0</v>
      </c>
      <c r="L47" s="159">
        <v>0</v>
      </c>
      <c r="M47" s="158">
        <v>0</v>
      </c>
      <c r="N47" s="153">
        <v>0</v>
      </c>
      <c r="O47" s="153">
        <v>0</v>
      </c>
      <c r="P47" s="158">
        <v>0</v>
      </c>
      <c r="Q47" s="158">
        <v>0</v>
      </c>
      <c r="R47" s="153">
        <v>550.1</v>
      </c>
      <c r="S47" s="153">
        <v>3220471.45</v>
      </c>
      <c r="T47" s="158">
        <v>0</v>
      </c>
      <c r="U47" s="158">
        <v>0</v>
      </c>
      <c r="V47" s="158">
        <v>0</v>
      </c>
      <c r="W47" s="158">
        <v>0</v>
      </c>
      <c r="X47" s="158">
        <v>0</v>
      </c>
      <c r="Y47" s="153">
        <v>0</v>
      </c>
      <c r="Z47" s="160">
        <f t="shared" si="6"/>
        <v>48307.07</v>
      </c>
      <c r="AA47" s="158">
        <v>0</v>
      </c>
      <c r="AB47" s="132" t="s">
        <v>425</v>
      </c>
      <c r="AC47" s="132">
        <v>2026</v>
      </c>
      <c r="AD47" s="132">
        <v>2026</v>
      </c>
    </row>
    <row r="48" spans="1:30" x14ac:dyDescent="0.3">
      <c r="A48" s="121">
        <v>1</v>
      </c>
      <c r="B48" s="148">
        <f>SUBTOTAL(9,$A$19:A48)</f>
        <v>30</v>
      </c>
      <c r="C48" s="161" t="s">
        <v>752</v>
      </c>
      <c r="D48" s="132"/>
      <c r="E48" s="144">
        <f t="shared" si="3"/>
        <v>5579901.2199999997</v>
      </c>
      <c r="F48" s="158">
        <v>0</v>
      </c>
      <c r="G48" s="158">
        <v>0</v>
      </c>
      <c r="H48" s="158">
        <v>0</v>
      </c>
      <c r="I48" s="158">
        <v>0</v>
      </c>
      <c r="J48" s="158">
        <v>0</v>
      </c>
      <c r="K48" s="158">
        <v>0</v>
      </c>
      <c r="L48" s="159">
        <v>0</v>
      </c>
      <c r="M48" s="158">
        <v>0</v>
      </c>
      <c r="N48" s="153">
        <v>0</v>
      </c>
      <c r="O48" s="153">
        <v>0</v>
      </c>
      <c r="P48" s="158">
        <v>0</v>
      </c>
      <c r="Q48" s="158">
        <v>0</v>
      </c>
      <c r="R48" s="153">
        <v>964.7</v>
      </c>
      <c r="S48" s="153">
        <v>5497439.6299999999</v>
      </c>
      <c r="T48" s="158">
        <v>0</v>
      </c>
      <c r="U48" s="158">
        <v>0</v>
      </c>
      <c r="V48" s="158">
        <v>0</v>
      </c>
      <c r="W48" s="158">
        <v>0</v>
      </c>
      <c r="X48" s="158">
        <v>0</v>
      </c>
      <c r="Y48" s="153">
        <v>0</v>
      </c>
      <c r="Z48" s="160">
        <f t="shared" si="6"/>
        <v>82461.59</v>
      </c>
      <c r="AA48" s="158">
        <v>0</v>
      </c>
      <c r="AB48" s="132" t="s">
        <v>425</v>
      </c>
      <c r="AC48" s="132">
        <v>2026</v>
      </c>
      <c r="AD48" s="132">
        <v>2026</v>
      </c>
    </row>
    <row r="49" spans="1:30" x14ac:dyDescent="0.3">
      <c r="A49" s="121">
        <v>1</v>
      </c>
      <c r="B49" s="148">
        <f>SUBTOTAL(9,$A$19:A49)</f>
        <v>31</v>
      </c>
      <c r="C49" s="161" t="s">
        <v>64</v>
      </c>
      <c r="D49" s="132"/>
      <c r="E49" s="144">
        <f t="shared" si="3"/>
        <v>16497788.369999999</v>
      </c>
      <c r="F49" s="158">
        <v>0</v>
      </c>
      <c r="G49" s="158">
        <v>0</v>
      </c>
      <c r="H49" s="158">
        <v>0</v>
      </c>
      <c r="I49" s="158">
        <v>0</v>
      </c>
      <c r="J49" s="158">
        <v>0</v>
      </c>
      <c r="K49" s="158">
        <v>0</v>
      </c>
      <c r="L49" s="159">
        <v>0</v>
      </c>
      <c r="M49" s="158">
        <v>0</v>
      </c>
      <c r="N49" s="153">
        <v>0</v>
      </c>
      <c r="O49" s="153">
        <v>0</v>
      </c>
      <c r="P49" s="158">
        <v>0</v>
      </c>
      <c r="Q49" s="158">
        <v>0</v>
      </c>
      <c r="R49" s="153">
        <v>2498.1</v>
      </c>
      <c r="S49" s="153">
        <v>16253978.689999999</v>
      </c>
      <c r="T49" s="158">
        <v>0</v>
      </c>
      <c r="U49" s="158">
        <v>0</v>
      </c>
      <c r="V49" s="158">
        <v>0</v>
      </c>
      <c r="W49" s="158">
        <v>0</v>
      </c>
      <c r="X49" s="158">
        <v>0</v>
      </c>
      <c r="Y49" s="153">
        <v>0</v>
      </c>
      <c r="Z49" s="160">
        <f t="shared" si="6"/>
        <v>243809.68</v>
      </c>
      <c r="AA49" s="158">
        <v>0</v>
      </c>
      <c r="AB49" s="132" t="s">
        <v>425</v>
      </c>
      <c r="AC49" s="132">
        <v>2026</v>
      </c>
      <c r="AD49" s="132">
        <v>2026</v>
      </c>
    </row>
    <row r="50" spans="1:30" x14ac:dyDescent="0.3">
      <c r="A50" s="121">
        <v>1</v>
      </c>
      <c r="B50" s="148">
        <f>SUBTOTAL(9,$A$19:A50)</f>
        <v>32</v>
      </c>
      <c r="C50" s="161" t="s">
        <v>765</v>
      </c>
      <c r="D50" s="132"/>
      <c r="E50" s="144">
        <f t="shared" si="3"/>
        <v>7289000.6600000001</v>
      </c>
      <c r="F50" s="158">
        <v>0</v>
      </c>
      <c r="G50" s="158">
        <v>0</v>
      </c>
      <c r="H50" s="158">
        <v>0</v>
      </c>
      <c r="I50" s="158">
        <v>0</v>
      </c>
      <c r="J50" s="158">
        <v>0</v>
      </c>
      <c r="K50" s="158">
        <v>0</v>
      </c>
      <c r="L50" s="159">
        <v>0</v>
      </c>
      <c r="M50" s="158">
        <v>0</v>
      </c>
      <c r="N50" s="153">
        <v>0</v>
      </c>
      <c r="O50" s="153">
        <v>0</v>
      </c>
      <c r="P50" s="158">
        <v>0</v>
      </c>
      <c r="Q50" s="158">
        <v>0</v>
      </c>
      <c r="R50" s="153">
        <v>770</v>
      </c>
      <c r="S50" s="153">
        <v>7181281.4400000004</v>
      </c>
      <c r="T50" s="158">
        <v>0</v>
      </c>
      <c r="U50" s="158">
        <v>0</v>
      </c>
      <c r="V50" s="158">
        <v>0</v>
      </c>
      <c r="W50" s="158">
        <v>0</v>
      </c>
      <c r="X50" s="158">
        <v>0</v>
      </c>
      <c r="Y50" s="153">
        <v>0</v>
      </c>
      <c r="Z50" s="160">
        <f t="shared" ref="Z50:Z55" si="7">ROUND(S50*1.5%,2)</f>
        <v>107719.22</v>
      </c>
      <c r="AA50" s="158">
        <v>0</v>
      </c>
      <c r="AB50" s="132" t="s">
        <v>425</v>
      </c>
      <c r="AC50" s="132">
        <v>2026</v>
      </c>
      <c r="AD50" s="132">
        <v>2026</v>
      </c>
    </row>
    <row r="51" spans="1:30" x14ac:dyDescent="0.3">
      <c r="A51" s="121">
        <v>1</v>
      </c>
      <c r="B51" s="148">
        <f>SUBTOTAL(9,$A$19:A51)</f>
        <v>33</v>
      </c>
      <c r="C51" s="161" t="s">
        <v>766</v>
      </c>
      <c r="D51" s="132"/>
      <c r="E51" s="144">
        <f t="shared" si="3"/>
        <v>11439856.219999999</v>
      </c>
      <c r="F51" s="158">
        <v>0</v>
      </c>
      <c r="G51" s="158">
        <v>0</v>
      </c>
      <c r="H51" s="158">
        <v>0</v>
      </c>
      <c r="I51" s="158">
        <v>0</v>
      </c>
      <c r="J51" s="158">
        <v>0</v>
      </c>
      <c r="K51" s="158">
        <v>0</v>
      </c>
      <c r="L51" s="159">
        <v>0</v>
      </c>
      <c r="M51" s="158">
        <v>0</v>
      </c>
      <c r="N51" s="153">
        <v>0</v>
      </c>
      <c r="O51" s="153">
        <v>0</v>
      </c>
      <c r="P51" s="158">
        <v>0</v>
      </c>
      <c r="Q51" s="158">
        <v>0</v>
      </c>
      <c r="R51" s="153">
        <v>1160.25</v>
      </c>
      <c r="S51" s="153">
        <f>11270761.04+33.27</f>
        <v>11270794.309999999</v>
      </c>
      <c r="T51" s="158">
        <v>0</v>
      </c>
      <c r="U51" s="158">
        <v>0</v>
      </c>
      <c r="V51" s="158">
        <v>0</v>
      </c>
      <c r="W51" s="158">
        <v>0</v>
      </c>
      <c r="X51" s="158">
        <v>0</v>
      </c>
      <c r="Y51" s="153">
        <v>0</v>
      </c>
      <c r="Z51" s="160">
        <f t="shared" si="7"/>
        <v>169061.91</v>
      </c>
      <c r="AA51" s="158">
        <v>0</v>
      </c>
      <c r="AB51" s="132" t="s">
        <v>425</v>
      </c>
      <c r="AC51" s="132">
        <v>2026</v>
      </c>
      <c r="AD51" s="132">
        <v>2026</v>
      </c>
    </row>
    <row r="52" spans="1:30" x14ac:dyDescent="0.3">
      <c r="A52" s="121">
        <v>1</v>
      </c>
      <c r="B52" s="148">
        <f>SUBTOTAL(9,$A$19:A52)</f>
        <v>34</v>
      </c>
      <c r="C52" s="161" t="s">
        <v>767</v>
      </c>
      <c r="D52" s="132"/>
      <c r="E52" s="144">
        <f t="shared" si="3"/>
        <v>9189129.25</v>
      </c>
      <c r="F52" s="158">
        <v>0</v>
      </c>
      <c r="G52" s="158">
        <v>0</v>
      </c>
      <c r="H52" s="158">
        <v>0</v>
      </c>
      <c r="I52" s="158">
        <v>0</v>
      </c>
      <c r="J52" s="158">
        <v>0</v>
      </c>
      <c r="K52" s="158">
        <v>0</v>
      </c>
      <c r="L52" s="159">
        <v>0</v>
      </c>
      <c r="M52" s="158">
        <v>0</v>
      </c>
      <c r="N52" s="153">
        <v>0</v>
      </c>
      <c r="O52" s="153">
        <v>0</v>
      </c>
      <c r="P52" s="158">
        <v>0</v>
      </c>
      <c r="Q52" s="158">
        <v>0</v>
      </c>
      <c r="R52" s="153">
        <v>927.36</v>
      </c>
      <c r="S52" s="153">
        <v>9053329.3100000005</v>
      </c>
      <c r="T52" s="158">
        <v>0</v>
      </c>
      <c r="U52" s="158">
        <v>0</v>
      </c>
      <c r="V52" s="158">
        <v>0</v>
      </c>
      <c r="W52" s="158">
        <v>0</v>
      </c>
      <c r="X52" s="158">
        <v>0</v>
      </c>
      <c r="Y52" s="153">
        <v>0</v>
      </c>
      <c r="Z52" s="160">
        <f t="shared" si="7"/>
        <v>135799.94</v>
      </c>
      <c r="AA52" s="158">
        <v>0</v>
      </c>
      <c r="AB52" s="132" t="s">
        <v>425</v>
      </c>
      <c r="AC52" s="132">
        <v>2026</v>
      </c>
      <c r="AD52" s="132">
        <v>2026</v>
      </c>
    </row>
    <row r="53" spans="1:30" x14ac:dyDescent="0.3">
      <c r="A53" s="121">
        <v>1</v>
      </c>
      <c r="B53" s="148">
        <f>SUBTOTAL(9,$A$19:A53)</f>
        <v>35</v>
      </c>
      <c r="C53" s="161" t="s">
        <v>768</v>
      </c>
      <c r="D53" s="132"/>
      <c r="E53" s="144">
        <f t="shared" si="3"/>
        <v>400000</v>
      </c>
      <c r="F53" s="158">
        <v>0</v>
      </c>
      <c r="G53" s="158">
        <v>0</v>
      </c>
      <c r="H53" s="158">
        <v>0</v>
      </c>
      <c r="I53" s="158">
        <v>0</v>
      </c>
      <c r="J53" s="158">
        <v>0</v>
      </c>
      <c r="K53" s="158">
        <v>0</v>
      </c>
      <c r="L53" s="159">
        <v>0</v>
      </c>
      <c r="M53" s="158">
        <v>0</v>
      </c>
      <c r="N53" s="153">
        <v>0</v>
      </c>
      <c r="O53" s="153">
        <v>0</v>
      </c>
      <c r="P53" s="158">
        <v>0</v>
      </c>
      <c r="Q53" s="158">
        <v>0</v>
      </c>
      <c r="R53" s="153">
        <v>0</v>
      </c>
      <c r="S53" s="153">
        <v>0</v>
      </c>
      <c r="T53" s="158">
        <v>0</v>
      </c>
      <c r="U53" s="158">
        <v>0</v>
      </c>
      <c r="V53" s="158">
        <v>0</v>
      </c>
      <c r="W53" s="158">
        <v>0</v>
      </c>
      <c r="X53" s="158">
        <v>0</v>
      </c>
      <c r="Y53" s="153">
        <v>400000</v>
      </c>
      <c r="Z53" s="160">
        <f t="shared" si="7"/>
        <v>0</v>
      </c>
      <c r="AA53" s="158">
        <v>0</v>
      </c>
      <c r="AB53" s="132">
        <v>2026</v>
      </c>
      <c r="AC53" s="132" t="s">
        <v>425</v>
      </c>
      <c r="AD53" s="132" t="s">
        <v>425</v>
      </c>
    </row>
    <row r="54" spans="1:30" x14ac:dyDescent="0.3">
      <c r="A54" s="121">
        <v>1</v>
      </c>
      <c r="B54" s="148">
        <f>SUBTOTAL(9,$A$19:A54)</f>
        <v>36</v>
      </c>
      <c r="C54" s="161" t="s">
        <v>721</v>
      </c>
      <c r="D54" s="132"/>
      <c r="E54" s="144">
        <f t="shared" si="3"/>
        <v>400000</v>
      </c>
      <c r="F54" s="158">
        <v>0</v>
      </c>
      <c r="G54" s="158">
        <v>0</v>
      </c>
      <c r="H54" s="158">
        <v>0</v>
      </c>
      <c r="I54" s="158">
        <v>0</v>
      </c>
      <c r="J54" s="158">
        <v>0</v>
      </c>
      <c r="K54" s="158">
        <v>0</v>
      </c>
      <c r="L54" s="159">
        <v>0</v>
      </c>
      <c r="M54" s="158">
        <v>0</v>
      </c>
      <c r="N54" s="153">
        <v>0</v>
      </c>
      <c r="O54" s="153">
        <v>0</v>
      </c>
      <c r="P54" s="158">
        <v>0</v>
      </c>
      <c r="Q54" s="158">
        <v>0</v>
      </c>
      <c r="R54" s="153">
        <v>0</v>
      </c>
      <c r="S54" s="153">
        <v>0</v>
      </c>
      <c r="T54" s="158">
        <v>0</v>
      </c>
      <c r="U54" s="158">
        <v>0</v>
      </c>
      <c r="V54" s="158">
        <v>0</v>
      </c>
      <c r="W54" s="158">
        <v>0</v>
      </c>
      <c r="X54" s="158">
        <v>0</v>
      </c>
      <c r="Y54" s="153">
        <v>400000</v>
      </c>
      <c r="Z54" s="160">
        <f t="shared" si="7"/>
        <v>0</v>
      </c>
      <c r="AA54" s="158">
        <v>0</v>
      </c>
      <c r="AB54" s="132">
        <v>2026</v>
      </c>
      <c r="AC54" s="132" t="s">
        <v>425</v>
      </c>
      <c r="AD54" s="132" t="s">
        <v>425</v>
      </c>
    </row>
    <row r="55" spans="1:30" x14ac:dyDescent="0.3">
      <c r="A55" s="121">
        <v>1</v>
      </c>
      <c r="B55" s="148">
        <f>SUBTOTAL(9,$A$19:A55)</f>
        <v>37</v>
      </c>
      <c r="C55" s="161" t="s">
        <v>769</v>
      </c>
      <c r="D55" s="132"/>
      <c r="E55" s="144">
        <f t="shared" si="3"/>
        <v>400000</v>
      </c>
      <c r="F55" s="158">
        <v>0</v>
      </c>
      <c r="G55" s="158">
        <v>0</v>
      </c>
      <c r="H55" s="158">
        <v>0</v>
      </c>
      <c r="I55" s="158">
        <v>0</v>
      </c>
      <c r="J55" s="158">
        <v>0</v>
      </c>
      <c r="K55" s="158">
        <v>0</v>
      </c>
      <c r="L55" s="159">
        <v>0</v>
      </c>
      <c r="M55" s="158">
        <v>0</v>
      </c>
      <c r="N55" s="153">
        <v>0</v>
      </c>
      <c r="O55" s="153">
        <v>0</v>
      </c>
      <c r="P55" s="158">
        <v>0</v>
      </c>
      <c r="Q55" s="158">
        <v>0</v>
      </c>
      <c r="R55" s="153">
        <v>0</v>
      </c>
      <c r="S55" s="153">
        <v>0</v>
      </c>
      <c r="T55" s="158">
        <v>0</v>
      </c>
      <c r="U55" s="158">
        <v>0</v>
      </c>
      <c r="V55" s="158">
        <v>0</v>
      </c>
      <c r="W55" s="158">
        <v>0</v>
      </c>
      <c r="X55" s="158">
        <v>0</v>
      </c>
      <c r="Y55" s="153">
        <v>400000</v>
      </c>
      <c r="Z55" s="160">
        <f t="shared" si="7"/>
        <v>0</v>
      </c>
      <c r="AA55" s="158">
        <v>0</v>
      </c>
      <c r="AB55" s="132">
        <v>2026</v>
      </c>
      <c r="AC55" s="132" t="s">
        <v>425</v>
      </c>
      <c r="AD55" s="132" t="s">
        <v>425</v>
      </c>
    </row>
    <row r="56" spans="1:30" x14ac:dyDescent="0.3">
      <c r="B56" s="147" t="s">
        <v>416</v>
      </c>
      <c r="C56" s="142"/>
      <c r="D56" s="143"/>
      <c r="E56" s="144">
        <f>SUM(E57:E63)</f>
        <v>50230675.549999997</v>
      </c>
      <c r="F56" s="144">
        <f t="shared" ref="F56:AA56" si="8">SUM(F57:F63)</f>
        <v>0</v>
      </c>
      <c r="G56" s="144">
        <f t="shared" si="8"/>
        <v>0</v>
      </c>
      <c r="H56" s="144">
        <f t="shared" si="8"/>
        <v>0</v>
      </c>
      <c r="I56" s="144">
        <f t="shared" si="8"/>
        <v>0</v>
      </c>
      <c r="J56" s="144">
        <f t="shared" si="8"/>
        <v>0</v>
      </c>
      <c r="K56" s="144">
        <f t="shared" si="8"/>
        <v>0</v>
      </c>
      <c r="L56" s="162">
        <f t="shared" si="8"/>
        <v>0</v>
      </c>
      <c r="M56" s="144">
        <f t="shared" si="8"/>
        <v>0</v>
      </c>
      <c r="N56" s="144">
        <f t="shared" si="8"/>
        <v>5414.35</v>
      </c>
      <c r="O56" s="144">
        <f t="shared" si="8"/>
        <v>45614674.839999996</v>
      </c>
      <c r="P56" s="144">
        <f t="shared" si="8"/>
        <v>0</v>
      </c>
      <c r="Q56" s="144">
        <f t="shared" si="8"/>
        <v>0</v>
      </c>
      <c r="R56" s="144">
        <f t="shared" si="8"/>
        <v>450.1</v>
      </c>
      <c r="S56" s="144">
        <f t="shared" si="8"/>
        <v>2835864.3</v>
      </c>
      <c r="T56" s="144">
        <f t="shared" si="8"/>
        <v>0</v>
      </c>
      <c r="U56" s="144">
        <f t="shared" si="8"/>
        <v>0</v>
      </c>
      <c r="V56" s="144">
        <f t="shared" si="8"/>
        <v>0</v>
      </c>
      <c r="W56" s="144">
        <f t="shared" si="8"/>
        <v>0</v>
      </c>
      <c r="X56" s="144">
        <f t="shared" si="8"/>
        <v>0</v>
      </c>
      <c r="Y56" s="144">
        <f t="shared" si="8"/>
        <v>1106176.26</v>
      </c>
      <c r="Z56" s="144">
        <f t="shared" si="8"/>
        <v>503960.15</v>
      </c>
      <c r="AA56" s="144">
        <f t="shared" si="8"/>
        <v>170000</v>
      </c>
      <c r="AB56" s="146" t="s">
        <v>422</v>
      </c>
      <c r="AC56" s="146" t="s">
        <v>422</v>
      </c>
      <c r="AD56" s="146" t="s">
        <v>422</v>
      </c>
    </row>
    <row r="57" spans="1:30" x14ac:dyDescent="0.3">
      <c r="A57" s="121">
        <v>1</v>
      </c>
      <c r="B57" s="148">
        <f>SUBTOTAL(9,$A$19:A57)</f>
        <v>38</v>
      </c>
      <c r="C57" s="154" t="s">
        <v>156</v>
      </c>
      <c r="D57" s="163" t="s">
        <v>168</v>
      </c>
      <c r="E57" s="144">
        <f>F57+G57+H57+I57+J57+K57+M57+O57+Q57+S57+U57+V57+W57+X57+Z57+AA57+Y57</f>
        <v>8932492.4699999988</v>
      </c>
      <c r="F57" s="160">
        <v>0</v>
      </c>
      <c r="G57" s="160">
        <v>0</v>
      </c>
      <c r="H57" s="160">
        <v>0</v>
      </c>
      <c r="I57" s="160">
        <v>0</v>
      </c>
      <c r="J57" s="160">
        <v>0</v>
      </c>
      <c r="K57" s="160">
        <v>0</v>
      </c>
      <c r="L57" s="162">
        <v>0</v>
      </c>
      <c r="M57" s="160">
        <v>0</v>
      </c>
      <c r="N57" s="153">
        <v>1361.4</v>
      </c>
      <c r="O57" s="153">
        <v>8637958.25</v>
      </c>
      <c r="P57" s="160">
        <v>0</v>
      </c>
      <c r="Q57" s="160">
        <v>0</v>
      </c>
      <c r="R57" s="160">
        <v>0</v>
      </c>
      <c r="S57" s="160">
        <v>0</v>
      </c>
      <c r="T57" s="160">
        <v>0</v>
      </c>
      <c r="U57" s="160">
        <v>0</v>
      </c>
      <c r="V57" s="160">
        <v>0</v>
      </c>
      <c r="W57" s="160">
        <v>0</v>
      </c>
      <c r="X57" s="160">
        <v>0</v>
      </c>
      <c r="Y57" s="153">
        <v>220498.28</v>
      </c>
      <c r="Z57" s="160">
        <f>ROUND(O57*0.8571%,2)</f>
        <v>74035.94</v>
      </c>
      <c r="AA57" s="160">
        <v>0</v>
      </c>
      <c r="AB57" s="150">
        <v>2026</v>
      </c>
      <c r="AC57" s="150">
        <v>2026</v>
      </c>
      <c r="AD57" s="150">
        <v>2026</v>
      </c>
    </row>
    <row r="58" spans="1:30" x14ac:dyDescent="0.3">
      <c r="A58" s="121">
        <v>1</v>
      </c>
      <c r="B58" s="148">
        <f>SUBTOTAL(9,$A$19:A58)</f>
        <v>39</v>
      </c>
      <c r="C58" s="154" t="s">
        <v>157</v>
      </c>
      <c r="D58" s="163" t="s">
        <v>168</v>
      </c>
      <c r="E58" s="144">
        <f>F58+G58+H58+I58+J58+K58+M58+O58+Q58+S58+U58+V58+W58+X58+Z58+AA58+Y58</f>
        <v>7175385.25</v>
      </c>
      <c r="F58" s="160">
        <v>0</v>
      </c>
      <c r="G58" s="160">
        <v>0</v>
      </c>
      <c r="H58" s="160">
        <v>0</v>
      </c>
      <c r="I58" s="160">
        <v>0</v>
      </c>
      <c r="J58" s="160">
        <v>0</v>
      </c>
      <c r="K58" s="160">
        <v>0</v>
      </c>
      <c r="L58" s="162">
        <v>0</v>
      </c>
      <c r="M58" s="160">
        <v>0</v>
      </c>
      <c r="N58" s="153">
        <v>842</v>
      </c>
      <c r="O58" s="153">
        <v>6950939.5099999998</v>
      </c>
      <c r="P58" s="160">
        <v>0</v>
      </c>
      <c r="Q58" s="160">
        <v>0</v>
      </c>
      <c r="R58" s="160">
        <v>0</v>
      </c>
      <c r="S58" s="160">
        <v>0</v>
      </c>
      <c r="T58" s="160">
        <v>0</v>
      </c>
      <c r="U58" s="160">
        <v>0</v>
      </c>
      <c r="V58" s="160">
        <v>0</v>
      </c>
      <c r="W58" s="160">
        <v>0</v>
      </c>
      <c r="X58" s="160">
        <v>0</v>
      </c>
      <c r="Y58" s="160">
        <v>164869.24</v>
      </c>
      <c r="Z58" s="160">
        <f>ROUND(O58*0.8571%,2)</f>
        <v>59576.5</v>
      </c>
      <c r="AA58" s="160">
        <v>0</v>
      </c>
      <c r="AB58" s="150">
        <v>2026</v>
      </c>
      <c r="AC58" s="150">
        <v>2026</v>
      </c>
      <c r="AD58" s="150">
        <v>2026</v>
      </c>
    </row>
    <row r="59" spans="1:30" x14ac:dyDescent="0.3">
      <c r="A59" s="121">
        <v>1</v>
      </c>
      <c r="B59" s="148">
        <f>SUBTOTAL(9,$A$19:A59)</f>
        <v>40</v>
      </c>
      <c r="C59" s="154" t="s">
        <v>158</v>
      </c>
      <c r="D59" s="163" t="s">
        <v>168</v>
      </c>
      <c r="E59" s="144">
        <f>F59+G59+H59+I59+J59+K59+M59+O59+Q59+S59+U59+V59+W59+X59+Z59+AA59+Y59</f>
        <v>6101385.3399999999</v>
      </c>
      <c r="F59" s="160">
        <v>0</v>
      </c>
      <c r="G59" s="160">
        <v>0</v>
      </c>
      <c r="H59" s="160">
        <v>0</v>
      </c>
      <c r="I59" s="160">
        <v>0</v>
      </c>
      <c r="J59" s="160">
        <v>0</v>
      </c>
      <c r="K59" s="160">
        <v>0</v>
      </c>
      <c r="L59" s="162">
        <v>0</v>
      </c>
      <c r="M59" s="160">
        <v>0</v>
      </c>
      <c r="N59" s="153">
        <v>668.25</v>
      </c>
      <c r="O59" s="153">
        <v>5882888.5099999998</v>
      </c>
      <c r="P59" s="160">
        <v>0</v>
      </c>
      <c r="Q59" s="160">
        <v>0</v>
      </c>
      <c r="R59" s="160">
        <v>0</v>
      </c>
      <c r="S59" s="160">
        <v>0</v>
      </c>
      <c r="T59" s="160">
        <v>0</v>
      </c>
      <c r="U59" s="160">
        <v>0</v>
      </c>
      <c r="V59" s="160">
        <v>0</v>
      </c>
      <c r="W59" s="160">
        <v>0</v>
      </c>
      <c r="X59" s="160">
        <v>0</v>
      </c>
      <c r="Y59" s="160">
        <v>168074.59</v>
      </c>
      <c r="Z59" s="160">
        <f>ROUND(O59*0.8571%,2)</f>
        <v>50422.239999999998</v>
      </c>
      <c r="AA59" s="160">
        <v>0</v>
      </c>
      <c r="AB59" s="150">
        <v>2026</v>
      </c>
      <c r="AC59" s="150">
        <v>2026</v>
      </c>
      <c r="AD59" s="150">
        <v>2026</v>
      </c>
    </row>
    <row r="60" spans="1:30" x14ac:dyDescent="0.3">
      <c r="A60" s="121">
        <v>1</v>
      </c>
      <c r="B60" s="148">
        <f>SUBTOTAL(9,$A$19:A60)</f>
        <v>41</v>
      </c>
      <c r="C60" s="154" t="s">
        <v>578</v>
      </c>
      <c r="D60" s="163" t="s">
        <v>168</v>
      </c>
      <c r="E60" s="144">
        <f>F60+G60+H60+I60+J60+K60+M60+O60+Q60+S60+U60+V60+W60+X60+Z60+AA60+Y60</f>
        <v>6385014.2399999993</v>
      </c>
      <c r="F60" s="160">
        <v>0</v>
      </c>
      <c r="G60" s="160">
        <v>0</v>
      </c>
      <c r="H60" s="160">
        <v>0</v>
      </c>
      <c r="I60" s="160">
        <v>0</v>
      </c>
      <c r="J60" s="160">
        <v>0</v>
      </c>
      <c r="K60" s="160">
        <v>0</v>
      </c>
      <c r="L60" s="162">
        <v>0</v>
      </c>
      <c r="M60" s="160">
        <v>0</v>
      </c>
      <c r="N60" s="153">
        <v>825.5</v>
      </c>
      <c r="O60" s="153">
        <v>6169801.5999999996</v>
      </c>
      <c r="P60" s="160">
        <v>0</v>
      </c>
      <c r="Q60" s="160">
        <v>0</v>
      </c>
      <c r="R60" s="160">
        <v>0</v>
      </c>
      <c r="S60" s="160">
        <v>0</v>
      </c>
      <c r="T60" s="160">
        <v>0</v>
      </c>
      <c r="U60" s="160">
        <v>0</v>
      </c>
      <c r="V60" s="160">
        <v>0</v>
      </c>
      <c r="W60" s="160">
        <v>0</v>
      </c>
      <c r="X60" s="160">
        <v>0</v>
      </c>
      <c r="Y60" s="160">
        <v>162331.26999999999</v>
      </c>
      <c r="Z60" s="160">
        <f>ROUND(O60*0.8571%,2)</f>
        <v>52881.37</v>
      </c>
      <c r="AA60" s="160">
        <v>0</v>
      </c>
      <c r="AB60" s="150">
        <v>2026</v>
      </c>
      <c r="AC60" s="150">
        <v>2026</v>
      </c>
      <c r="AD60" s="150">
        <v>2026</v>
      </c>
    </row>
    <row r="61" spans="1:30" x14ac:dyDescent="0.3">
      <c r="A61" s="121">
        <v>1</v>
      </c>
      <c r="B61" s="148">
        <f>SUBTOTAL(9,$A$19:A61)</f>
        <v>42</v>
      </c>
      <c r="C61" s="154" t="s">
        <v>579</v>
      </c>
      <c r="D61" s="163" t="s">
        <v>168</v>
      </c>
      <c r="E61" s="144">
        <f>F61+G61+H61+I61+J61+K61+M61+O61+Q61+S61+U61+V61+W61+X61+Z61+AA61+Y61</f>
        <v>7258466.9900000002</v>
      </c>
      <c r="F61" s="160">
        <v>0</v>
      </c>
      <c r="G61" s="160">
        <v>0</v>
      </c>
      <c r="H61" s="160">
        <v>0</v>
      </c>
      <c r="I61" s="160">
        <v>0</v>
      </c>
      <c r="J61" s="160">
        <v>0</v>
      </c>
      <c r="K61" s="160">
        <v>0</v>
      </c>
      <c r="L61" s="162">
        <v>0</v>
      </c>
      <c r="M61" s="160">
        <v>0</v>
      </c>
      <c r="N61" s="153">
        <v>819.2</v>
      </c>
      <c r="O61" s="144">
        <v>7013558.3700000001</v>
      </c>
      <c r="P61" s="160">
        <v>0</v>
      </c>
      <c r="Q61" s="160">
        <v>0</v>
      </c>
      <c r="R61" s="160">
        <v>0</v>
      </c>
      <c r="S61" s="160">
        <v>0</v>
      </c>
      <c r="T61" s="160">
        <v>0</v>
      </c>
      <c r="U61" s="160">
        <v>0</v>
      </c>
      <c r="V61" s="160">
        <v>0</v>
      </c>
      <c r="W61" s="160">
        <v>0</v>
      </c>
      <c r="X61" s="160">
        <v>0</v>
      </c>
      <c r="Y61" s="160">
        <v>184795.41</v>
      </c>
      <c r="Z61" s="160">
        <f>ROUND(O61*0.8571%,2)</f>
        <v>60113.21</v>
      </c>
      <c r="AA61" s="160">
        <v>0</v>
      </c>
      <c r="AB61" s="150">
        <v>2026</v>
      </c>
      <c r="AC61" s="150">
        <v>2026</v>
      </c>
      <c r="AD61" s="150">
        <v>2026</v>
      </c>
    </row>
    <row r="62" spans="1:30" s="165" customFormat="1" x14ac:dyDescent="0.3">
      <c r="A62" s="121">
        <v>1</v>
      </c>
      <c r="B62" s="148">
        <f>SUBTOTAL(9,$A$19:A62)</f>
        <v>43</v>
      </c>
      <c r="C62" s="161" t="s">
        <v>602</v>
      </c>
      <c r="D62" s="163" t="s">
        <v>168</v>
      </c>
      <c r="E62" s="153">
        <f>F62+G62+H62+I62+J62+K62+M62+O62+Q62+S62+U62+V62+W62+X62+Y62+Z62+AA62</f>
        <v>3048402.26</v>
      </c>
      <c r="F62" s="158">
        <v>0</v>
      </c>
      <c r="G62" s="158">
        <v>0</v>
      </c>
      <c r="H62" s="158">
        <v>0</v>
      </c>
      <c r="I62" s="158">
        <v>0</v>
      </c>
      <c r="J62" s="158">
        <v>0</v>
      </c>
      <c r="K62" s="158">
        <v>0</v>
      </c>
      <c r="L62" s="159">
        <v>0</v>
      </c>
      <c r="M62" s="158">
        <v>0</v>
      </c>
      <c r="N62" s="164">
        <v>0</v>
      </c>
      <c r="O62" s="153">
        <v>0</v>
      </c>
      <c r="P62" s="158">
        <v>0</v>
      </c>
      <c r="Q62" s="158">
        <v>0</v>
      </c>
      <c r="R62" s="151">
        <v>450.1</v>
      </c>
      <c r="S62" s="151">
        <f>2029178.86+806685.44</f>
        <v>2835864.3</v>
      </c>
      <c r="T62" s="158">
        <v>0</v>
      </c>
      <c r="U62" s="158">
        <v>0</v>
      </c>
      <c r="V62" s="158">
        <v>0</v>
      </c>
      <c r="W62" s="158">
        <v>0</v>
      </c>
      <c r="X62" s="158">
        <v>0</v>
      </c>
      <c r="Y62" s="158">
        <v>0</v>
      </c>
      <c r="Z62" s="153">
        <f>ROUND(S62*1.5%,2)</f>
        <v>42537.96</v>
      </c>
      <c r="AA62" s="158">
        <v>170000</v>
      </c>
      <c r="AB62" s="132" t="s">
        <v>425</v>
      </c>
      <c r="AC62" s="132">
        <v>2026</v>
      </c>
      <c r="AD62" s="132">
        <v>2026</v>
      </c>
    </row>
    <row r="63" spans="1:30" s="165" customFormat="1" x14ac:dyDescent="0.3">
      <c r="A63" s="121">
        <v>1</v>
      </c>
      <c r="B63" s="148">
        <f>SUBTOTAL(9,$A$19:A63)</f>
        <v>44</v>
      </c>
      <c r="C63" s="161" t="s">
        <v>744</v>
      </c>
      <c r="D63" s="163"/>
      <c r="E63" s="153">
        <f>F63+G63+H63+I63+J63+K63+M63+O63+Q63+S63+U63+V63+W63+X63+Y63+Z63+AA63</f>
        <v>11329529</v>
      </c>
      <c r="F63" s="158">
        <v>0</v>
      </c>
      <c r="G63" s="158">
        <v>0</v>
      </c>
      <c r="H63" s="158">
        <v>0</v>
      </c>
      <c r="I63" s="158">
        <v>0</v>
      </c>
      <c r="J63" s="158">
        <v>0</v>
      </c>
      <c r="K63" s="158">
        <v>0</v>
      </c>
      <c r="L63" s="159">
        <v>0</v>
      </c>
      <c r="M63" s="158">
        <v>0</v>
      </c>
      <c r="N63" s="164">
        <v>898</v>
      </c>
      <c r="O63" s="153">
        <v>10959528.6</v>
      </c>
      <c r="P63" s="158">
        <v>0</v>
      </c>
      <c r="Q63" s="158">
        <v>0</v>
      </c>
      <c r="R63" s="151">
        <v>0</v>
      </c>
      <c r="S63" s="151">
        <v>0</v>
      </c>
      <c r="T63" s="158">
        <v>0</v>
      </c>
      <c r="U63" s="158">
        <v>0</v>
      </c>
      <c r="V63" s="158">
        <v>0</v>
      </c>
      <c r="W63" s="158">
        <v>0</v>
      </c>
      <c r="X63" s="158">
        <v>0</v>
      </c>
      <c r="Y63" s="158">
        <v>205607.47</v>
      </c>
      <c r="Z63" s="153">
        <f>ROUND(O63*1.5%,2)</f>
        <v>164392.93</v>
      </c>
      <c r="AA63" s="158">
        <v>0</v>
      </c>
      <c r="AB63" s="132">
        <v>2026</v>
      </c>
      <c r="AC63" s="132">
        <v>2026</v>
      </c>
      <c r="AD63" s="132">
        <v>2026</v>
      </c>
    </row>
    <row r="64" spans="1:30" x14ac:dyDescent="0.3">
      <c r="B64" s="147" t="s">
        <v>414</v>
      </c>
      <c r="C64" s="142"/>
      <c r="D64" s="143"/>
      <c r="E64" s="144">
        <f t="shared" ref="E64:AA64" si="9">SUM(E65:E78)</f>
        <v>120022693.69999999</v>
      </c>
      <c r="F64" s="144">
        <f t="shared" si="9"/>
        <v>0</v>
      </c>
      <c r="G64" s="144">
        <f t="shared" si="9"/>
        <v>0</v>
      </c>
      <c r="H64" s="144">
        <f t="shared" si="9"/>
        <v>0</v>
      </c>
      <c r="I64" s="144">
        <f t="shared" si="9"/>
        <v>0</v>
      </c>
      <c r="J64" s="144">
        <f t="shared" si="9"/>
        <v>4698838.58</v>
      </c>
      <c r="K64" s="144">
        <f t="shared" si="9"/>
        <v>0</v>
      </c>
      <c r="L64" s="162">
        <f t="shared" si="9"/>
        <v>0</v>
      </c>
      <c r="M64" s="144">
        <f t="shared" si="9"/>
        <v>0</v>
      </c>
      <c r="N64" s="144">
        <f t="shared" si="9"/>
        <v>8273.2100000000009</v>
      </c>
      <c r="O64" s="144">
        <f t="shared" si="9"/>
        <v>100626222.84</v>
      </c>
      <c r="P64" s="144">
        <f t="shared" si="9"/>
        <v>0</v>
      </c>
      <c r="Q64" s="144">
        <f t="shared" si="9"/>
        <v>0</v>
      </c>
      <c r="R64" s="144">
        <f t="shared" si="9"/>
        <v>2445.6999999999998</v>
      </c>
      <c r="S64" s="144">
        <f t="shared" si="9"/>
        <v>10129750.699999999</v>
      </c>
      <c r="T64" s="144">
        <f t="shared" si="9"/>
        <v>0</v>
      </c>
      <c r="U64" s="144">
        <f t="shared" si="9"/>
        <v>0</v>
      </c>
      <c r="V64" s="144">
        <f t="shared" si="9"/>
        <v>0</v>
      </c>
      <c r="W64" s="144">
        <f t="shared" si="9"/>
        <v>0</v>
      </c>
      <c r="X64" s="144">
        <f t="shared" si="9"/>
        <v>0</v>
      </c>
      <c r="Y64" s="144">
        <f t="shared" si="9"/>
        <v>2717678.52</v>
      </c>
      <c r="Z64" s="144">
        <f t="shared" si="9"/>
        <v>1730203.06</v>
      </c>
      <c r="AA64" s="144">
        <f t="shared" si="9"/>
        <v>120000</v>
      </c>
      <c r="AB64" s="146" t="s">
        <v>422</v>
      </c>
      <c r="AC64" s="146" t="s">
        <v>422</v>
      </c>
      <c r="AD64" s="146" t="s">
        <v>422</v>
      </c>
    </row>
    <row r="65" spans="1:31" x14ac:dyDescent="0.3">
      <c r="A65" s="121">
        <v>1</v>
      </c>
      <c r="B65" s="148">
        <f>SUBTOTAL(9,$A$19:A65)</f>
        <v>45</v>
      </c>
      <c r="C65" s="154" t="s">
        <v>114</v>
      </c>
      <c r="D65" s="163" t="s">
        <v>152</v>
      </c>
      <c r="E65" s="144">
        <f t="shared" ref="E65:E75" si="10">F65+G65+H65+I65+J65+K65+M65+O65+Q65+S65+U65+V65+W65+X65+Z65+AA65+Y65</f>
        <v>4117077.3099999996</v>
      </c>
      <c r="F65" s="160">
        <v>0</v>
      </c>
      <c r="G65" s="160">
        <v>0</v>
      </c>
      <c r="H65" s="160">
        <v>0</v>
      </c>
      <c r="I65" s="160">
        <v>0</v>
      </c>
      <c r="J65" s="160">
        <v>0</v>
      </c>
      <c r="K65" s="160">
        <v>0</v>
      </c>
      <c r="L65" s="162">
        <v>0</v>
      </c>
      <c r="M65" s="160">
        <v>0</v>
      </c>
      <c r="N65" s="153">
        <v>384.73</v>
      </c>
      <c r="O65" s="153">
        <v>3894871.53</v>
      </c>
      <c r="P65" s="160">
        <v>0</v>
      </c>
      <c r="Q65" s="160">
        <v>0</v>
      </c>
      <c r="R65" s="160">
        <v>0</v>
      </c>
      <c r="S65" s="160">
        <v>0</v>
      </c>
      <c r="T65" s="160">
        <v>0</v>
      </c>
      <c r="U65" s="160">
        <v>0</v>
      </c>
      <c r="V65" s="160">
        <v>0</v>
      </c>
      <c r="W65" s="160">
        <v>0</v>
      </c>
      <c r="X65" s="160">
        <v>0</v>
      </c>
      <c r="Y65" s="153">
        <v>163782.71</v>
      </c>
      <c r="Z65" s="160">
        <f>ROUND(O65*1.5%,2)</f>
        <v>58423.07</v>
      </c>
      <c r="AA65" s="160">
        <v>0</v>
      </c>
      <c r="AB65" s="150">
        <v>2026</v>
      </c>
      <c r="AC65" s="150">
        <v>2026</v>
      </c>
      <c r="AD65" s="150">
        <v>2026</v>
      </c>
    </row>
    <row r="66" spans="1:31" x14ac:dyDescent="0.3">
      <c r="A66" s="121">
        <v>1</v>
      </c>
      <c r="B66" s="148">
        <f>SUBTOTAL(9,$A$19:A66)</f>
        <v>46</v>
      </c>
      <c r="C66" s="154" t="s">
        <v>115</v>
      </c>
      <c r="D66" s="163" t="s">
        <v>152</v>
      </c>
      <c r="E66" s="144">
        <f t="shared" si="10"/>
        <v>4444111.4800000004</v>
      </c>
      <c r="F66" s="160">
        <v>0</v>
      </c>
      <c r="G66" s="160">
        <v>0</v>
      </c>
      <c r="H66" s="160">
        <v>0</v>
      </c>
      <c r="I66" s="160">
        <v>0</v>
      </c>
      <c r="J66" s="160">
        <v>0</v>
      </c>
      <c r="K66" s="160">
        <v>0</v>
      </c>
      <c r="L66" s="162">
        <v>0</v>
      </c>
      <c r="M66" s="160">
        <v>0</v>
      </c>
      <c r="N66" s="153">
        <v>0</v>
      </c>
      <c r="O66" s="153">
        <v>0</v>
      </c>
      <c r="P66" s="160">
        <v>0</v>
      </c>
      <c r="Q66" s="160">
        <v>0</v>
      </c>
      <c r="R66" s="153">
        <v>387.6</v>
      </c>
      <c r="S66" s="153">
        <v>4185283.47</v>
      </c>
      <c r="T66" s="160">
        <v>0</v>
      </c>
      <c r="U66" s="160">
        <v>0</v>
      </c>
      <c r="V66" s="160">
        <v>0</v>
      </c>
      <c r="W66" s="160">
        <v>0</v>
      </c>
      <c r="X66" s="160">
        <v>0</v>
      </c>
      <c r="Y66" s="160">
        <v>196048.76</v>
      </c>
      <c r="Z66" s="160">
        <f>ROUND(S66*1.5%,2)</f>
        <v>62779.25</v>
      </c>
      <c r="AA66" s="160">
        <v>0</v>
      </c>
      <c r="AB66" s="150">
        <v>2026</v>
      </c>
      <c r="AC66" s="150">
        <v>2026</v>
      </c>
      <c r="AD66" s="150">
        <v>2026</v>
      </c>
    </row>
    <row r="67" spans="1:31" x14ac:dyDescent="0.3">
      <c r="A67" s="121">
        <v>1</v>
      </c>
      <c r="B67" s="148">
        <f>SUBTOTAL(9,$A$19:A67)</f>
        <v>47</v>
      </c>
      <c r="C67" s="154" t="s">
        <v>116</v>
      </c>
      <c r="D67" s="163" t="s">
        <v>152</v>
      </c>
      <c r="E67" s="144">
        <f t="shared" si="10"/>
        <v>3808352.9999999995</v>
      </c>
      <c r="F67" s="160">
        <v>0</v>
      </c>
      <c r="G67" s="160">
        <v>0</v>
      </c>
      <c r="H67" s="160">
        <v>0</v>
      </c>
      <c r="I67" s="160">
        <v>0</v>
      </c>
      <c r="J67" s="160">
        <v>0</v>
      </c>
      <c r="K67" s="160">
        <v>0</v>
      </c>
      <c r="L67" s="162">
        <v>0</v>
      </c>
      <c r="M67" s="160">
        <v>0</v>
      </c>
      <c r="N67" s="153">
        <v>300</v>
      </c>
      <c r="O67" s="153">
        <v>3600688.09</v>
      </c>
      <c r="P67" s="160">
        <v>0</v>
      </c>
      <c r="Q67" s="160">
        <v>0</v>
      </c>
      <c r="R67" s="160">
        <v>0</v>
      </c>
      <c r="S67" s="160">
        <v>0</v>
      </c>
      <c r="T67" s="160">
        <v>0</v>
      </c>
      <c r="U67" s="160">
        <v>0</v>
      </c>
      <c r="V67" s="160">
        <v>0</v>
      </c>
      <c r="W67" s="160">
        <v>0</v>
      </c>
      <c r="X67" s="160">
        <v>0</v>
      </c>
      <c r="Y67" s="153">
        <v>153654.59</v>
      </c>
      <c r="Z67" s="160">
        <f t="shared" ref="Z67:Z74" si="11">ROUND(O67*1.5%,2)</f>
        <v>54010.32</v>
      </c>
      <c r="AA67" s="160">
        <v>0</v>
      </c>
      <c r="AB67" s="150">
        <v>2026</v>
      </c>
      <c r="AC67" s="150">
        <v>2026</v>
      </c>
      <c r="AD67" s="150">
        <v>2026</v>
      </c>
    </row>
    <row r="68" spans="1:31" x14ac:dyDescent="0.3">
      <c r="A68" s="121">
        <v>1</v>
      </c>
      <c r="B68" s="148">
        <f>SUBTOTAL(9,$A$19:A68)</f>
        <v>48</v>
      </c>
      <c r="C68" s="154" t="s">
        <v>117</v>
      </c>
      <c r="D68" s="163" t="s">
        <v>152</v>
      </c>
      <c r="E68" s="144">
        <f t="shared" si="10"/>
        <v>14671629.649999999</v>
      </c>
      <c r="F68" s="160">
        <v>0</v>
      </c>
      <c r="G68" s="160">
        <v>0</v>
      </c>
      <c r="H68" s="160">
        <v>0</v>
      </c>
      <c r="I68" s="160">
        <v>0</v>
      </c>
      <c r="J68" s="160">
        <v>0</v>
      </c>
      <c r="K68" s="160">
        <v>0</v>
      </c>
      <c r="L68" s="162">
        <v>0</v>
      </c>
      <c r="M68" s="160">
        <v>0</v>
      </c>
      <c r="N68" s="153">
        <v>1165</v>
      </c>
      <c r="O68" s="153">
        <v>14092228.199999999</v>
      </c>
      <c r="P68" s="160">
        <v>0</v>
      </c>
      <c r="Q68" s="160">
        <v>0</v>
      </c>
      <c r="R68" s="160">
        <v>0</v>
      </c>
      <c r="S68" s="160">
        <v>0</v>
      </c>
      <c r="T68" s="160">
        <v>0</v>
      </c>
      <c r="U68" s="160">
        <v>0</v>
      </c>
      <c r="V68" s="160">
        <v>0</v>
      </c>
      <c r="W68" s="160">
        <v>0</v>
      </c>
      <c r="X68" s="160">
        <v>0</v>
      </c>
      <c r="Y68" s="153">
        <v>368018.03</v>
      </c>
      <c r="Z68" s="160">
        <f t="shared" si="11"/>
        <v>211383.42</v>
      </c>
      <c r="AA68" s="160">
        <v>0</v>
      </c>
      <c r="AB68" s="150">
        <v>2026</v>
      </c>
      <c r="AC68" s="150">
        <v>2026</v>
      </c>
      <c r="AD68" s="150">
        <v>2026</v>
      </c>
    </row>
    <row r="69" spans="1:31" x14ac:dyDescent="0.3">
      <c r="A69" s="121">
        <v>1</v>
      </c>
      <c r="B69" s="148">
        <f>SUBTOTAL(9,$A$19:A69)</f>
        <v>49</v>
      </c>
      <c r="C69" s="154" t="s">
        <v>118</v>
      </c>
      <c r="D69" s="163" t="s">
        <v>152</v>
      </c>
      <c r="E69" s="144">
        <f t="shared" si="10"/>
        <v>4528728.96</v>
      </c>
      <c r="F69" s="160">
        <v>0</v>
      </c>
      <c r="G69" s="160">
        <v>0</v>
      </c>
      <c r="H69" s="160">
        <v>0</v>
      </c>
      <c r="I69" s="160">
        <v>0</v>
      </c>
      <c r="J69" s="160">
        <v>0</v>
      </c>
      <c r="K69" s="160">
        <v>0</v>
      </c>
      <c r="L69" s="162">
        <v>0</v>
      </c>
      <c r="M69" s="160">
        <v>0</v>
      </c>
      <c r="N69" s="153">
        <v>424.29</v>
      </c>
      <c r="O69" s="144">
        <v>4296356.4000000004</v>
      </c>
      <c r="P69" s="160">
        <v>0</v>
      </c>
      <c r="Q69" s="160">
        <v>0</v>
      </c>
      <c r="R69" s="160">
        <v>0</v>
      </c>
      <c r="S69" s="160">
        <v>0</v>
      </c>
      <c r="T69" s="160">
        <v>0</v>
      </c>
      <c r="U69" s="160">
        <v>0</v>
      </c>
      <c r="V69" s="160">
        <v>0</v>
      </c>
      <c r="W69" s="160">
        <v>0</v>
      </c>
      <c r="X69" s="160">
        <v>0</v>
      </c>
      <c r="Y69" s="153">
        <v>167927.21</v>
      </c>
      <c r="Z69" s="160">
        <f t="shared" si="11"/>
        <v>64445.35</v>
      </c>
      <c r="AA69" s="160">
        <v>0</v>
      </c>
      <c r="AB69" s="150">
        <v>2026</v>
      </c>
      <c r="AC69" s="150">
        <v>2026</v>
      </c>
      <c r="AD69" s="150">
        <v>2026</v>
      </c>
    </row>
    <row r="70" spans="1:31" x14ac:dyDescent="0.3">
      <c r="A70" s="121">
        <v>1</v>
      </c>
      <c r="B70" s="148">
        <f>SUBTOTAL(9,$A$19:A70)</f>
        <v>50</v>
      </c>
      <c r="C70" s="154" t="s">
        <v>119</v>
      </c>
      <c r="D70" s="163" t="s">
        <v>152</v>
      </c>
      <c r="E70" s="144">
        <f t="shared" si="10"/>
        <v>8145221.3399999999</v>
      </c>
      <c r="F70" s="160">
        <v>0</v>
      </c>
      <c r="G70" s="160">
        <v>0</v>
      </c>
      <c r="H70" s="160">
        <v>0</v>
      </c>
      <c r="I70" s="160">
        <v>0</v>
      </c>
      <c r="J70" s="160">
        <v>0</v>
      </c>
      <c r="K70" s="160">
        <v>0</v>
      </c>
      <c r="L70" s="162">
        <v>0</v>
      </c>
      <c r="M70" s="160">
        <v>0</v>
      </c>
      <c r="N70" s="153">
        <v>643</v>
      </c>
      <c r="O70" s="153">
        <v>7794303.8100000005</v>
      </c>
      <c r="P70" s="160">
        <v>0</v>
      </c>
      <c r="Q70" s="160">
        <v>0</v>
      </c>
      <c r="R70" s="160">
        <v>0</v>
      </c>
      <c r="S70" s="160">
        <v>0</v>
      </c>
      <c r="T70" s="160">
        <v>0</v>
      </c>
      <c r="U70" s="160">
        <v>0</v>
      </c>
      <c r="V70" s="160">
        <v>0</v>
      </c>
      <c r="W70" s="160">
        <v>0</v>
      </c>
      <c r="X70" s="160">
        <v>0</v>
      </c>
      <c r="Y70" s="153">
        <v>234002.97</v>
      </c>
      <c r="Z70" s="160">
        <f t="shared" si="11"/>
        <v>116914.56</v>
      </c>
      <c r="AA70" s="160">
        <v>0</v>
      </c>
      <c r="AB70" s="150">
        <v>2026</v>
      </c>
      <c r="AC70" s="150">
        <v>2026</v>
      </c>
      <c r="AD70" s="150">
        <v>2026</v>
      </c>
    </row>
    <row r="71" spans="1:31" x14ac:dyDescent="0.3">
      <c r="A71" s="121">
        <v>1</v>
      </c>
      <c r="B71" s="148">
        <f>SUBTOTAL(9,$A$19:A71)</f>
        <v>51</v>
      </c>
      <c r="C71" s="154" t="s">
        <v>120</v>
      </c>
      <c r="D71" s="163" t="s">
        <v>152</v>
      </c>
      <c r="E71" s="144">
        <f t="shared" si="10"/>
        <v>10847083.830000002</v>
      </c>
      <c r="F71" s="160">
        <v>0</v>
      </c>
      <c r="G71" s="160">
        <v>0</v>
      </c>
      <c r="H71" s="160">
        <v>0</v>
      </c>
      <c r="I71" s="160">
        <v>0</v>
      </c>
      <c r="J71" s="160">
        <v>0</v>
      </c>
      <c r="K71" s="160">
        <v>0</v>
      </c>
      <c r="L71" s="162">
        <v>0</v>
      </c>
      <c r="M71" s="160">
        <v>0</v>
      </c>
      <c r="N71" s="153">
        <v>606.5</v>
      </c>
      <c r="O71" s="153">
        <v>10540492.630000001</v>
      </c>
      <c r="P71" s="160">
        <v>0</v>
      </c>
      <c r="Q71" s="160">
        <v>0</v>
      </c>
      <c r="R71" s="160">
        <v>0</v>
      </c>
      <c r="S71" s="160">
        <v>0</v>
      </c>
      <c r="T71" s="160">
        <v>0</v>
      </c>
      <c r="U71" s="160">
        <v>0</v>
      </c>
      <c r="V71" s="160">
        <v>0</v>
      </c>
      <c r="W71" s="160">
        <v>0</v>
      </c>
      <c r="X71" s="160">
        <v>0</v>
      </c>
      <c r="Y71" s="160">
        <v>148483.81</v>
      </c>
      <c r="Z71" s="160">
        <f t="shared" si="11"/>
        <v>158107.39000000001</v>
      </c>
      <c r="AA71" s="160">
        <v>0</v>
      </c>
      <c r="AB71" s="150">
        <v>2026</v>
      </c>
      <c r="AC71" s="150">
        <v>2026</v>
      </c>
      <c r="AD71" s="150">
        <v>2026</v>
      </c>
    </row>
    <row r="72" spans="1:31" x14ac:dyDescent="0.3">
      <c r="A72" s="121">
        <v>1</v>
      </c>
      <c r="B72" s="148">
        <f>SUBTOTAL(9,$A$19:A72)</f>
        <v>52</v>
      </c>
      <c r="C72" s="154" t="s">
        <v>121</v>
      </c>
      <c r="D72" s="163" t="s">
        <v>152</v>
      </c>
      <c r="E72" s="144">
        <f t="shared" si="10"/>
        <v>7598488.4100000001</v>
      </c>
      <c r="F72" s="160">
        <v>0</v>
      </c>
      <c r="G72" s="160">
        <v>0</v>
      </c>
      <c r="H72" s="160">
        <v>0</v>
      </c>
      <c r="I72" s="160">
        <v>0</v>
      </c>
      <c r="J72" s="160">
        <v>0</v>
      </c>
      <c r="K72" s="160">
        <v>0</v>
      </c>
      <c r="L72" s="162">
        <v>0</v>
      </c>
      <c r="M72" s="160">
        <v>0</v>
      </c>
      <c r="N72" s="153">
        <v>600</v>
      </c>
      <c r="O72" s="153">
        <v>7244102.4000000004</v>
      </c>
      <c r="P72" s="160">
        <v>0</v>
      </c>
      <c r="Q72" s="160">
        <v>0</v>
      </c>
      <c r="R72" s="160">
        <v>0</v>
      </c>
      <c r="S72" s="160">
        <v>0</v>
      </c>
      <c r="T72" s="160">
        <v>0</v>
      </c>
      <c r="U72" s="160">
        <v>0</v>
      </c>
      <c r="V72" s="160">
        <v>0</v>
      </c>
      <c r="W72" s="160">
        <v>0</v>
      </c>
      <c r="X72" s="160">
        <v>0</v>
      </c>
      <c r="Y72" s="153">
        <v>245724.47</v>
      </c>
      <c r="Z72" s="160">
        <f t="shared" si="11"/>
        <v>108661.54</v>
      </c>
      <c r="AA72" s="160">
        <v>0</v>
      </c>
      <c r="AB72" s="150">
        <v>2026</v>
      </c>
      <c r="AC72" s="150">
        <v>2026</v>
      </c>
      <c r="AD72" s="150">
        <v>2026</v>
      </c>
    </row>
    <row r="73" spans="1:31" x14ac:dyDescent="0.3">
      <c r="A73" s="121">
        <v>1</v>
      </c>
      <c r="B73" s="148">
        <f>SUBTOTAL(9,$A$19:A73)</f>
        <v>53</v>
      </c>
      <c r="C73" s="154" t="s">
        <v>122</v>
      </c>
      <c r="D73" s="163" t="s">
        <v>152</v>
      </c>
      <c r="E73" s="144">
        <f t="shared" si="10"/>
        <v>4798398.3600000003</v>
      </c>
      <c r="F73" s="160">
        <v>0</v>
      </c>
      <c r="G73" s="160">
        <v>0</v>
      </c>
      <c r="H73" s="160">
        <v>0</v>
      </c>
      <c r="I73" s="160">
        <v>0</v>
      </c>
      <c r="J73" s="160">
        <v>0</v>
      </c>
      <c r="K73" s="160">
        <v>0</v>
      </c>
      <c r="L73" s="162">
        <v>0</v>
      </c>
      <c r="M73" s="160">
        <v>0</v>
      </c>
      <c r="N73" s="153">
        <v>300</v>
      </c>
      <c r="O73" s="153">
        <v>4562318.34</v>
      </c>
      <c r="P73" s="160">
        <v>0</v>
      </c>
      <c r="Q73" s="160">
        <v>0</v>
      </c>
      <c r="R73" s="160">
        <v>0</v>
      </c>
      <c r="S73" s="160">
        <v>0</v>
      </c>
      <c r="T73" s="160">
        <v>0</v>
      </c>
      <c r="U73" s="160">
        <v>0</v>
      </c>
      <c r="V73" s="160">
        <v>0</v>
      </c>
      <c r="W73" s="160">
        <v>0</v>
      </c>
      <c r="X73" s="160">
        <v>0</v>
      </c>
      <c r="Y73" s="153">
        <v>167645.24</v>
      </c>
      <c r="Z73" s="160">
        <f t="shared" si="11"/>
        <v>68434.78</v>
      </c>
      <c r="AA73" s="160">
        <v>0</v>
      </c>
      <c r="AB73" s="150">
        <v>2026</v>
      </c>
      <c r="AC73" s="150">
        <v>2026</v>
      </c>
      <c r="AD73" s="150">
        <v>2026</v>
      </c>
    </row>
    <row r="74" spans="1:31" x14ac:dyDescent="0.3">
      <c r="A74" s="121">
        <v>1</v>
      </c>
      <c r="B74" s="148">
        <f>SUBTOTAL(9,$A$19:A74)</f>
        <v>54</v>
      </c>
      <c r="C74" s="154" t="s">
        <v>599</v>
      </c>
      <c r="D74" s="163" t="s">
        <v>152</v>
      </c>
      <c r="E74" s="144">
        <f t="shared" si="10"/>
        <v>4662754.6700000009</v>
      </c>
      <c r="F74" s="160">
        <v>0</v>
      </c>
      <c r="G74" s="160">
        <v>0</v>
      </c>
      <c r="H74" s="160">
        <v>0</v>
      </c>
      <c r="I74" s="160">
        <v>0</v>
      </c>
      <c r="J74" s="160">
        <v>0</v>
      </c>
      <c r="K74" s="160">
        <v>0</v>
      </c>
      <c r="L74" s="162">
        <v>0</v>
      </c>
      <c r="M74" s="160">
        <v>0</v>
      </c>
      <c r="N74" s="153">
        <v>260</v>
      </c>
      <c r="O74" s="153">
        <v>4451491.32</v>
      </c>
      <c r="P74" s="160">
        <v>0</v>
      </c>
      <c r="Q74" s="160">
        <v>0</v>
      </c>
      <c r="R74" s="160">
        <v>0</v>
      </c>
      <c r="S74" s="160">
        <v>0</v>
      </c>
      <c r="T74" s="160">
        <v>0</v>
      </c>
      <c r="U74" s="160">
        <v>0</v>
      </c>
      <c r="V74" s="160">
        <v>0</v>
      </c>
      <c r="W74" s="160">
        <v>0</v>
      </c>
      <c r="X74" s="160">
        <v>0</v>
      </c>
      <c r="Y74" s="160">
        <v>144490.98000000001</v>
      </c>
      <c r="Z74" s="160">
        <f t="shared" si="11"/>
        <v>66772.37</v>
      </c>
      <c r="AA74" s="160">
        <v>0</v>
      </c>
      <c r="AB74" s="150">
        <v>2026</v>
      </c>
      <c r="AC74" s="150">
        <v>2026</v>
      </c>
      <c r="AD74" s="150">
        <v>2026</v>
      </c>
    </row>
    <row r="75" spans="1:31" s="167" customFormat="1" x14ac:dyDescent="0.25">
      <c r="A75" s="121">
        <v>1</v>
      </c>
      <c r="B75" s="148">
        <f>SUBTOTAL(9,$A$19:A75)</f>
        <v>55</v>
      </c>
      <c r="C75" s="154" t="s">
        <v>123</v>
      </c>
      <c r="D75" s="163" t="s">
        <v>152</v>
      </c>
      <c r="E75" s="144">
        <f t="shared" si="10"/>
        <v>4981985.8100000005</v>
      </c>
      <c r="F75" s="155">
        <v>0</v>
      </c>
      <c r="G75" s="155">
        <v>0</v>
      </c>
      <c r="H75" s="155">
        <v>0</v>
      </c>
      <c r="I75" s="155">
        <v>0</v>
      </c>
      <c r="J75" s="153">
        <f>5387522.8-688684.22</f>
        <v>4698838.58</v>
      </c>
      <c r="K75" s="155">
        <v>0</v>
      </c>
      <c r="L75" s="166">
        <v>0</v>
      </c>
      <c r="M75" s="155">
        <v>0</v>
      </c>
      <c r="N75" s="153">
        <v>0</v>
      </c>
      <c r="O75" s="153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5">
        <v>0</v>
      </c>
      <c r="V75" s="155">
        <v>0</v>
      </c>
      <c r="W75" s="155">
        <v>0</v>
      </c>
      <c r="X75" s="155">
        <v>0</v>
      </c>
      <c r="Y75" s="153">
        <v>212664.65</v>
      </c>
      <c r="Z75" s="155">
        <f>ROUND(J75*1.5%,2)</f>
        <v>70482.58</v>
      </c>
      <c r="AA75" s="155">
        <v>0</v>
      </c>
      <c r="AB75" s="150">
        <v>2026</v>
      </c>
      <c r="AC75" s="150">
        <v>2026</v>
      </c>
      <c r="AD75" s="150">
        <v>2026</v>
      </c>
    </row>
    <row r="76" spans="1:31" s="165" customFormat="1" x14ac:dyDescent="0.3">
      <c r="A76" s="121">
        <v>1</v>
      </c>
      <c r="B76" s="148">
        <f>SUBTOTAL(9,$A$19:A76)</f>
        <v>56</v>
      </c>
      <c r="C76" s="161" t="s">
        <v>603</v>
      </c>
      <c r="D76" s="163" t="s">
        <v>152</v>
      </c>
      <c r="E76" s="153">
        <f>F76+G76+H76+I76+J76+K76+M76+O76+Q76+S76+U76+V76+W76+X76+Y76+Z76+AA76</f>
        <v>6153634.2399999993</v>
      </c>
      <c r="F76" s="158">
        <v>0</v>
      </c>
      <c r="G76" s="158">
        <v>0</v>
      </c>
      <c r="H76" s="158">
        <v>0</v>
      </c>
      <c r="I76" s="158">
        <v>0</v>
      </c>
      <c r="J76" s="158">
        <v>0</v>
      </c>
      <c r="K76" s="158">
        <v>0</v>
      </c>
      <c r="L76" s="159">
        <v>0</v>
      </c>
      <c r="M76" s="158">
        <v>0</v>
      </c>
      <c r="N76" s="164">
        <v>0</v>
      </c>
      <c r="O76" s="153">
        <v>0</v>
      </c>
      <c r="P76" s="158">
        <v>0</v>
      </c>
      <c r="Q76" s="158">
        <v>0</v>
      </c>
      <c r="R76" s="151">
        <v>2058.1</v>
      </c>
      <c r="S76" s="151">
        <f>6393185.39-448718.16</f>
        <v>5944467.2299999995</v>
      </c>
      <c r="T76" s="158">
        <v>0</v>
      </c>
      <c r="U76" s="158">
        <v>0</v>
      </c>
      <c r="V76" s="158">
        <v>0</v>
      </c>
      <c r="W76" s="158">
        <v>0</v>
      </c>
      <c r="X76" s="158">
        <v>0</v>
      </c>
      <c r="Y76" s="153">
        <v>0</v>
      </c>
      <c r="Z76" s="153">
        <f>ROUND(S76*1.5%,2)</f>
        <v>89167.01</v>
      </c>
      <c r="AA76" s="158">
        <v>120000</v>
      </c>
      <c r="AB76" s="132" t="s">
        <v>425</v>
      </c>
      <c r="AC76" s="132">
        <v>2026</v>
      </c>
      <c r="AD76" s="132">
        <v>2026</v>
      </c>
    </row>
    <row r="77" spans="1:31" s="165" customFormat="1" x14ac:dyDescent="0.3">
      <c r="A77" s="121">
        <v>1</v>
      </c>
      <c r="B77" s="148">
        <f>SUBTOTAL(9,$A$19:A77)</f>
        <v>57</v>
      </c>
      <c r="C77" s="161" t="s">
        <v>661</v>
      </c>
      <c r="D77" s="168" t="s">
        <v>152</v>
      </c>
      <c r="E77" s="153">
        <f>F77+G77+H77+I77+J77+K77+M77+O77+Q77+S77+U77+V77+W77+X77+Y77+Z77+AA77</f>
        <v>21910638.309999999</v>
      </c>
      <c r="F77" s="158">
        <v>0</v>
      </c>
      <c r="G77" s="158">
        <v>0</v>
      </c>
      <c r="H77" s="158">
        <v>0</v>
      </c>
      <c r="I77" s="158">
        <v>0</v>
      </c>
      <c r="J77" s="158">
        <v>0</v>
      </c>
      <c r="K77" s="158">
        <v>0</v>
      </c>
      <c r="L77" s="159">
        <v>0</v>
      </c>
      <c r="M77" s="158">
        <v>0</v>
      </c>
      <c r="N77" s="153">
        <v>2055.69</v>
      </c>
      <c r="O77" s="153">
        <v>21588430.98</v>
      </c>
      <c r="P77" s="158">
        <v>0</v>
      </c>
      <c r="Q77" s="158">
        <v>0</v>
      </c>
      <c r="R77" s="158">
        <v>0</v>
      </c>
      <c r="S77" s="158">
        <v>0</v>
      </c>
      <c r="T77" s="158">
        <v>0</v>
      </c>
      <c r="U77" s="158">
        <v>0</v>
      </c>
      <c r="V77" s="158">
        <v>0</v>
      </c>
      <c r="W77" s="158">
        <v>0</v>
      </c>
      <c r="X77" s="158">
        <v>0</v>
      </c>
      <c r="Y77" s="153">
        <v>0</v>
      </c>
      <c r="Z77" s="153">
        <f>ROUND(O77*1.4925%,2)</f>
        <v>322207.33</v>
      </c>
      <c r="AA77" s="158">
        <v>0</v>
      </c>
      <c r="AB77" s="132" t="s">
        <v>425</v>
      </c>
      <c r="AC77" s="132">
        <v>2026</v>
      </c>
      <c r="AD77" s="132">
        <v>2026</v>
      </c>
      <c r="AE77" s="169"/>
    </row>
    <row r="78" spans="1:31" s="165" customFormat="1" x14ac:dyDescent="0.3">
      <c r="A78" s="121">
        <v>1</v>
      </c>
      <c r="B78" s="148">
        <f>SUBTOTAL(9,$A$19:A78)</f>
        <v>58</v>
      </c>
      <c r="C78" s="141" t="s">
        <v>715</v>
      </c>
      <c r="D78" s="168"/>
      <c r="E78" s="153">
        <f>F78+G78+H78+I78+J78+K78+M78+O78+Q78+S78+U78+V78+W78+X78+Y78+Z78+AA78</f>
        <v>19354588.330000002</v>
      </c>
      <c r="F78" s="170">
        <v>0</v>
      </c>
      <c r="G78" s="170">
        <v>0</v>
      </c>
      <c r="H78" s="170">
        <v>0</v>
      </c>
      <c r="I78" s="170">
        <v>0</v>
      </c>
      <c r="J78" s="170">
        <v>0</v>
      </c>
      <c r="K78" s="170">
        <v>0</v>
      </c>
      <c r="L78" s="141">
        <v>0</v>
      </c>
      <c r="M78" s="170">
        <v>0</v>
      </c>
      <c r="N78" s="170">
        <v>1534</v>
      </c>
      <c r="O78" s="170">
        <v>18560939.140000001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0">
        <v>0</v>
      </c>
      <c r="W78" s="170">
        <v>0</v>
      </c>
      <c r="X78" s="170">
        <v>0</v>
      </c>
      <c r="Y78" s="153">
        <v>515235.1</v>
      </c>
      <c r="Z78" s="170">
        <f>ROUND(O78*1.5%,2)</f>
        <v>278414.09000000003</v>
      </c>
      <c r="AA78" s="170">
        <v>0</v>
      </c>
      <c r="AB78" s="171">
        <v>2026</v>
      </c>
      <c r="AC78" s="171">
        <v>2026</v>
      </c>
      <c r="AD78" s="171">
        <v>2026</v>
      </c>
      <c r="AE78" s="169"/>
    </row>
    <row r="79" spans="1:31" x14ac:dyDescent="0.3">
      <c r="B79" s="147" t="s">
        <v>471</v>
      </c>
      <c r="C79" s="147"/>
      <c r="D79" s="172"/>
      <c r="E79" s="153">
        <f t="shared" ref="E79:AA79" si="12">SUM(E80:E88)</f>
        <v>74891227.419999987</v>
      </c>
      <c r="F79" s="153">
        <f t="shared" si="12"/>
        <v>0</v>
      </c>
      <c r="G79" s="153">
        <f t="shared" si="12"/>
        <v>0</v>
      </c>
      <c r="H79" s="153">
        <f t="shared" si="12"/>
        <v>0</v>
      </c>
      <c r="I79" s="153">
        <f t="shared" si="12"/>
        <v>0</v>
      </c>
      <c r="J79" s="153">
        <f t="shared" si="12"/>
        <v>0</v>
      </c>
      <c r="K79" s="153">
        <f t="shared" si="12"/>
        <v>0</v>
      </c>
      <c r="L79" s="173">
        <f t="shared" si="12"/>
        <v>5</v>
      </c>
      <c r="M79" s="153">
        <f t="shared" si="12"/>
        <v>17970956.699999999</v>
      </c>
      <c r="N79" s="153">
        <f t="shared" si="12"/>
        <v>5182.4500000000007</v>
      </c>
      <c r="O79" s="153">
        <f t="shared" si="12"/>
        <v>53551241.399999999</v>
      </c>
      <c r="P79" s="153">
        <f t="shared" si="12"/>
        <v>0</v>
      </c>
      <c r="Q79" s="153">
        <f t="shared" si="12"/>
        <v>0</v>
      </c>
      <c r="R79" s="153">
        <f t="shared" si="12"/>
        <v>0</v>
      </c>
      <c r="S79" s="153">
        <f t="shared" si="12"/>
        <v>0</v>
      </c>
      <c r="T79" s="153">
        <f t="shared" si="12"/>
        <v>0</v>
      </c>
      <c r="U79" s="153">
        <f t="shared" si="12"/>
        <v>0</v>
      </c>
      <c r="V79" s="153">
        <f t="shared" si="12"/>
        <v>0</v>
      </c>
      <c r="W79" s="153">
        <f t="shared" si="12"/>
        <v>0</v>
      </c>
      <c r="X79" s="153">
        <f t="shared" si="12"/>
        <v>0</v>
      </c>
      <c r="Y79" s="153">
        <f t="shared" si="12"/>
        <v>2126196.34</v>
      </c>
      <c r="Z79" s="153">
        <f t="shared" si="12"/>
        <v>1072832.9800000002</v>
      </c>
      <c r="AA79" s="153">
        <f t="shared" si="12"/>
        <v>170000</v>
      </c>
      <c r="AB79" s="146" t="s">
        <v>422</v>
      </c>
      <c r="AC79" s="146" t="s">
        <v>422</v>
      </c>
      <c r="AD79" s="146" t="s">
        <v>422</v>
      </c>
    </row>
    <row r="80" spans="1:31" x14ac:dyDescent="0.3">
      <c r="A80" s="121">
        <v>1</v>
      </c>
      <c r="B80" s="148">
        <f>SUBTOTAL(9,$A$19:A80)</f>
        <v>59</v>
      </c>
      <c r="C80" s="154" t="s">
        <v>399</v>
      </c>
      <c r="D80" s="163" t="s">
        <v>472</v>
      </c>
      <c r="E80" s="144">
        <f t="shared" ref="E80:E88" si="13">F80+G80+H80+I80+J80+K80+M80+O80+Q80+S80+U80+V80+W80+X80+Z80+AA80+Y80</f>
        <v>6620552.04</v>
      </c>
      <c r="F80" s="160">
        <v>0</v>
      </c>
      <c r="G80" s="160">
        <v>0</v>
      </c>
      <c r="H80" s="160">
        <v>0</v>
      </c>
      <c r="I80" s="160">
        <v>0</v>
      </c>
      <c r="J80" s="160">
        <v>0</v>
      </c>
      <c r="K80" s="160">
        <v>0</v>
      </c>
      <c r="L80" s="173">
        <v>0</v>
      </c>
      <c r="M80" s="153">
        <v>0</v>
      </c>
      <c r="N80" s="144">
        <v>365</v>
      </c>
      <c r="O80" s="153">
        <v>5939117.21</v>
      </c>
      <c r="P80" s="153">
        <v>0</v>
      </c>
      <c r="Q80" s="153">
        <v>0</v>
      </c>
      <c r="R80" s="153">
        <v>0</v>
      </c>
      <c r="S80" s="153">
        <v>0</v>
      </c>
      <c r="T80" s="160">
        <v>0</v>
      </c>
      <c r="U80" s="160">
        <v>0</v>
      </c>
      <c r="V80" s="160">
        <v>0</v>
      </c>
      <c r="W80" s="160">
        <v>0</v>
      </c>
      <c r="X80" s="160">
        <v>0</v>
      </c>
      <c r="Y80" s="153">
        <v>422348.07</v>
      </c>
      <c r="Z80" s="160">
        <f>ROUND(O80*1.5%,2)</f>
        <v>89086.76</v>
      </c>
      <c r="AA80" s="160">
        <v>170000</v>
      </c>
      <c r="AB80" s="150">
        <v>2026</v>
      </c>
      <c r="AC80" s="150">
        <v>2026</v>
      </c>
      <c r="AD80" s="150">
        <v>2026</v>
      </c>
    </row>
    <row r="81" spans="1:30" x14ac:dyDescent="0.3">
      <c r="A81" s="121">
        <v>1</v>
      </c>
      <c r="B81" s="148">
        <f>SUBTOTAL(9,$A$19:A81)</f>
        <v>60</v>
      </c>
      <c r="C81" s="154" t="s">
        <v>390</v>
      </c>
      <c r="D81" s="163" t="s">
        <v>472</v>
      </c>
      <c r="E81" s="144">
        <f t="shared" si="13"/>
        <v>5434418.2299999995</v>
      </c>
      <c r="F81" s="160">
        <v>0</v>
      </c>
      <c r="G81" s="160">
        <v>0</v>
      </c>
      <c r="H81" s="160">
        <v>0</v>
      </c>
      <c r="I81" s="160">
        <v>0</v>
      </c>
      <c r="J81" s="160">
        <v>0</v>
      </c>
      <c r="K81" s="160">
        <v>0</v>
      </c>
      <c r="L81" s="173">
        <v>0</v>
      </c>
      <c r="M81" s="153">
        <v>0</v>
      </c>
      <c r="N81" s="144">
        <v>783</v>
      </c>
      <c r="O81" s="153">
        <v>5236208.0999999996</v>
      </c>
      <c r="P81" s="153">
        <v>0</v>
      </c>
      <c r="Q81" s="153">
        <v>0</v>
      </c>
      <c r="R81" s="153">
        <v>0</v>
      </c>
      <c r="S81" s="153">
        <v>0</v>
      </c>
      <c r="T81" s="160">
        <v>0</v>
      </c>
      <c r="U81" s="160">
        <v>0</v>
      </c>
      <c r="V81" s="160">
        <v>0</v>
      </c>
      <c r="W81" s="160">
        <v>0</v>
      </c>
      <c r="X81" s="160">
        <v>0</v>
      </c>
      <c r="Y81" s="160">
        <v>119667.01</v>
      </c>
      <c r="Z81" s="160">
        <f>ROUND(O81*1.5%,2)</f>
        <v>78543.12</v>
      </c>
      <c r="AA81" s="160">
        <v>0</v>
      </c>
      <c r="AB81" s="150">
        <v>2026</v>
      </c>
      <c r="AC81" s="150">
        <v>2026</v>
      </c>
      <c r="AD81" s="150">
        <v>2026</v>
      </c>
    </row>
    <row r="82" spans="1:30" x14ac:dyDescent="0.3">
      <c r="A82" s="121">
        <v>1</v>
      </c>
      <c r="B82" s="148">
        <f>SUBTOTAL(9,$A$19:A82)</f>
        <v>61</v>
      </c>
      <c r="C82" s="154" t="s">
        <v>407</v>
      </c>
      <c r="D82" s="163" t="s">
        <v>472</v>
      </c>
      <c r="E82" s="144">
        <f t="shared" si="13"/>
        <v>7326373.25</v>
      </c>
      <c r="F82" s="160">
        <v>0</v>
      </c>
      <c r="G82" s="160">
        <v>0</v>
      </c>
      <c r="H82" s="160">
        <v>0</v>
      </c>
      <c r="I82" s="160">
        <v>0</v>
      </c>
      <c r="J82" s="160">
        <v>0</v>
      </c>
      <c r="K82" s="160">
        <v>0</v>
      </c>
      <c r="L82" s="174">
        <v>2</v>
      </c>
      <c r="M82" s="153">
        <f>3514052.25+3514052.25</f>
        <v>7028104.5</v>
      </c>
      <c r="N82" s="144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60">
        <v>0</v>
      </c>
      <c r="U82" s="160">
        <v>0</v>
      </c>
      <c r="V82" s="160">
        <v>0</v>
      </c>
      <c r="W82" s="160">
        <v>0</v>
      </c>
      <c r="X82" s="160">
        <v>0</v>
      </c>
      <c r="Y82" s="153">
        <v>192847.18</v>
      </c>
      <c r="Z82" s="160">
        <f>ROUND(M82*1.5%,2)</f>
        <v>105421.57</v>
      </c>
      <c r="AA82" s="160">
        <v>0</v>
      </c>
      <c r="AB82" s="150">
        <v>2026</v>
      </c>
      <c r="AC82" s="150">
        <v>2026</v>
      </c>
      <c r="AD82" s="150">
        <v>2026</v>
      </c>
    </row>
    <row r="83" spans="1:30" x14ac:dyDescent="0.3">
      <c r="A83" s="121">
        <v>1</v>
      </c>
      <c r="B83" s="148">
        <f>SUBTOTAL(9,$A$19:A83)</f>
        <v>62</v>
      </c>
      <c r="C83" s="154" t="s">
        <v>384</v>
      </c>
      <c r="D83" s="163" t="s">
        <v>472</v>
      </c>
      <c r="E83" s="144">
        <f t="shared" si="13"/>
        <v>5986465.3200000003</v>
      </c>
      <c r="F83" s="160">
        <v>0</v>
      </c>
      <c r="G83" s="160">
        <v>0</v>
      </c>
      <c r="H83" s="160">
        <v>0</v>
      </c>
      <c r="I83" s="160">
        <v>0</v>
      </c>
      <c r="J83" s="160">
        <v>0</v>
      </c>
      <c r="K83" s="160">
        <v>0</v>
      </c>
      <c r="L83" s="174">
        <v>0</v>
      </c>
      <c r="M83" s="153">
        <v>0</v>
      </c>
      <c r="N83" s="144">
        <v>522.47</v>
      </c>
      <c r="O83" s="153">
        <v>5665038.8399999999</v>
      </c>
      <c r="P83" s="153">
        <v>0</v>
      </c>
      <c r="Q83" s="153">
        <v>0</v>
      </c>
      <c r="R83" s="153">
        <v>0</v>
      </c>
      <c r="S83" s="153">
        <v>0</v>
      </c>
      <c r="T83" s="160">
        <v>0</v>
      </c>
      <c r="U83" s="160">
        <v>0</v>
      </c>
      <c r="V83" s="160">
        <v>0</v>
      </c>
      <c r="W83" s="160">
        <v>0</v>
      </c>
      <c r="X83" s="160">
        <v>0</v>
      </c>
      <c r="Y83" s="153">
        <v>236450.9</v>
      </c>
      <c r="Z83" s="160">
        <f>ROUND(O83*1.5%,2)</f>
        <v>84975.58</v>
      </c>
      <c r="AA83" s="160">
        <v>0</v>
      </c>
      <c r="AB83" s="150">
        <v>2026</v>
      </c>
      <c r="AC83" s="150">
        <v>2026</v>
      </c>
      <c r="AD83" s="150">
        <v>2026</v>
      </c>
    </row>
    <row r="84" spans="1:30" x14ac:dyDescent="0.3">
      <c r="A84" s="121">
        <v>1</v>
      </c>
      <c r="B84" s="148">
        <f>SUBTOTAL(9,$A$19:A84)</f>
        <v>63</v>
      </c>
      <c r="C84" s="154" t="s">
        <v>404</v>
      </c>
      <c r="D84" s="163" t="s">
        <v>472</v>
      </c>
      <c r="E84" s="144">
        <f t="shared" si="13"/>
        <v>11324525.039999999</v>
      </c>
      <c r="F84" s="160">
        <v>0</v>
      </c>
      <c r="G84" s="160">
        <v>0</v>
      </c>
      <c r="H84" s="160">
        <v>0</v>
      </c>
      <c r="I84" s="160">
        <v>0</v>
      </c>
      <c r="J84" s="160">
        <v>0</v>
      </c>
      <c r="K84" s="160">
        <v>0</v>
      </c>
      <c r="L84" s="174">
        <v>3</v>
      </c>
      <c r="M84" s="153">
        <f>3647617.4+3647617.4+3647617.4</f>
        <v>10942852.199999999</v>
      </c>
      <c r="N84" s="144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60">
        <v>0</v>
      </c>
      <c r="U84" s="160">
        <v>0</v>
      </c>
      <c r="V84" s="160">
        <v>0</v>
      </c>
      <c r="W84" s="160">
        <v>0</v>
      </c>
      <c r="X84" s="160">
        <v>0</v>
      </c>
      <c r="Y84" s="160">
        <v>217530.06</v>
      </c>
      <c r="Z84" s="160">
        <f>ROUND(M84*1.5%,2)</f>
        <v>164142.78</v>
      </c>
      <c r="AA84" s="160">
        <v>0</v>
      </c>
      <c r="AB84" s="150">
        <v>2026</v>
      </c>
      <c r="AC84" s="150">
        <v>2026</v>
      </c>
      <c r="AD84" s="150">
        <v>2026</v>
      </c>
    </row>
    <row r="85" spans="1:30" x14ac:dyDescent="0.3">
      <c r="A85" s="121">
        <v>1</v>
      </c>
      <c r="B85" s="148">
        <f>SUBTOTAL(9,$A$19:A85)</f>
        <v>64</v>
      </c>
      <c r="C85" s="154" t="s">
        <v>406</v>
      </c>
      <c r="D85" s="163" t="s">
        <v>472</v>
      </c>
      <c r="E85" s="144">
        <f t="shared" si="13"/>
        <v>17863055.02</v>
      </c>
      <c r="F85" s="160">
        <v>0</v>
      </c>
      <c r="G85" s="160">
        <v>0</v>
      </c>
      <c r="H85" s="160">
        <v>0</v>
      </c>
      <c r="I85" s="160">
        <v>0</v>
      </c>
      <c r="J85" s="160">
        <v>0</v>
      </c>
      <c r="K85" s="160">
        <v>0</v>
      </c>
      <c r="L85" s="173">
        <v>0</v>
      </c>
      <c r="M85" s="153">
        <v>0</v>
      </c>
      <c r="N85" s="144">
        <v>1528</v>
      </c>
      <c r="O85" s="153">
        <v>17224053.82</v>
      </c>
      <c r="P85" s="153">
        <v>0</v>
      </c>
      <c r="Q85" s="153">
        <v>0</v>
      </c>
      <c r="R85" s="153">
        <v>0</v>
      </c>
      <c r="S85" s="153">
        <v>0</v>
      </c>
      <c r="T85" s="160">
        <v>0</v>
      </c>
      <c r="U85" s="160">
        <v>0</v>
      </c>
      <c r="V85" s="160">
        <v>0</v>
      </c>
      <c r="W85" s="160">
        <v>0</v>
      </c>
      <c r="X85" s="160">
        <v>0</v>
      </c>
      <c r="Y85" s="153">
        <v>380640.39</v>
      </c>
      <c r="Z85" s="160">
        <f>ROUND(O85*1.5%,2)</f>
        <v>258360.81</v>
      </c>
      <c r="AA85" s="160">
        <v>0</v>
      </c>
      <c r="AB85" s="150">
        <v>2026</v>
      </c>
      <c r="AC85" s="150">
        <v>2026</v>
      </c>
      <c r="AD85" s="150">
        <v>2026</v>
      </c>
    </row>
    <row r="86" spans="1:30" x14ac:dyDescent="0.3">
      <c r="A86" s="121">
        <v>1</v>
      </c>
      <c r="B86" s="148">
        <f>SUBTOTAL(9,$A$19:A86)</f>
        <v>65</v>
      </c>
      <c r="C86" s="154" t="s">
        <v>396</v>
      </c>
      <c r="D86" s="163" t="s">
        <v>472</v>
      </c>
      <c r="E86" s="144">
        <f t="shared" si="13"/>
        <v>8786758.1399999987</v>
      </c>
      <c r="F86" s="160">
        <v>0</v>
      </c>
      <c r="G86" s="160">
        <v>0</v>
      </c>
      <c r="H86" s="160">
        <v>0</v>
      </c>
      <c r="I86" s="160">
        <v>0</v>
      </c>
      <c r="J86" s="160">
        <v>0</v>
      </c>
      <c r="K86" s="160">
        <v>0</v>
      </c>
      <c r="L86" s="173">
        <v>0</v>
      </c>
      <c r="M86" s="153">
        <v>0</v>
      </c>
      <c r="N86" s="144">
        <v>880</v>
      </c>
      <c r="O86" s="153">
        <v>8421223.7400000002</v>
      </c>
      <c r="P86" s="153">
        <v>0</v>
      </c>
      <c r="Q86" s="153">
        <v>0</v>
      </c>
      <c r="R86" s="153">
        <v>0</v>
      </c>
      <c r="S86" s="153">
        <v>0</v>
      </c>
      <c r="T86" s="160">
        <v>0</v>
      </c>
      <c r="U86" s="160">
        <v>0</v>
      </c>
      <c r="V86" s="160">
        <v>0</v>
      </c>
      <c r="W86" s="160">
        <v>0</v>
      </c>
      <c r="X86" s="160">
        <v>0</v>
      </c>
      <c r="Y86" s="153">
        <v>239216.04</v>
      </c>
      <c r="Z86" s="160">
        <f>ROUND(O86*1.5%,2)</f>
        <v>126318.36</v>
      </c>
      <c r="AA86" s="160">
        <v>0</v>
      </c>
      <c r="AB86" s="150">
        <v>2026</v>
      </c>
      <c r="AC86" s="150">
        <v>2026</v>
      </c>
      <c r="AD86" s="150">
        <v>2026</v>
      </c>
    </row>
    <row r="87" spans="1:30" x14ac:dyDescent="0.3">
      <c r="A87" s="121">
        <v>1</v>
      </c>
      <c r="B87" s="148">
        <f>SUBTOTAL(9,$A$19:A87)</f>
        <v>66</v>
      </c>
      <c r="C87" s="154" t="s">
        <v>391</v>
      </c>
      <c r="D87" s="163" t="s">
        <v>472</v>
      </c>
      <c r="E87" s="144">
        <f t="shared" si="13"/>
        <v>5572149.7699999996</v>
      </c>
      <c r="F87" s="160">
        <v>0</v>
      </c>
      <c r="G87" s="160">
        <v>0</v>
      </c>
      <c r="H87" s="160">
        <v>0</v>
      </c>
      <c r="I87" s="160">
        <v>0</v>
      </c>
      <c r="J87" s="160">
        <v>0</v>
      </c>
      <c r="K87" s="160">
        <v>0</v>
      </c>
      <c r="L87" s="173">
        <v>0</v>
      </c>
      <c r="M87" s="153">
        <v>0</v>
      </c>
      <c r="N87" s="144">
        <v>544.98</v>
      </c>
      <c r="O87" s="144">
        <v>5328660.34</v>
      </c>
      <c r="P87" s="153">
        <v>0</v>
      </c>
      <c r="Q87" s="153">
        <v>0</v>
      </c>
      <c r="R87" s="153">
        <v>0</v>
      </c>
      <c r="S87" s="153">
        <v>0</v>
      </c>
      <c r="T87" s="160">
        <v>0</v>
      </c>
      <c r="U87" s="160">
        <v>0</v>
      </c>
      <c r="V87" s="160">
        <v>0</v>
      </c>
      <c r="W87" s="160">
        <v>0</v>
      </c>
      <c r="X87" s="160">
        <v>0</v>
      </c>
      <c r="Y87" s="160">
        <v>163559.51999999999</v>
      </c>
      <c r="Z87" s="160">
        <f>ROUND(O87*1.5%,2)</f>
        <v>79929.91</v>
      </c>
      <c r="AA87" s="160">
        <v>0</v>
      </c>
      <c r="AB87" s="150">
        <v>2026</v>
      </c>
      <c r="AC87" s="150">
        <v>2026</v>
      </c>
      <c r="AD87" s="150">
        <v>2026</v>
      </c>
    </row>
    <row r="88" spans="1:30" x14ac:dyDescent="0.3">
      <c r="A88" s="121">
        <v>1</v>
      </c>
      <c r="B88" s="148">
        <f>SUBTOTAL(9,$A$19:A88)</f>
        <v>67</v>
      </c>
      <c r="C88" s="154" t="s">
        <v>408</v>
      </c>
      <c r="D88" s="163" t="s">
        <v>472</v>
      </c>
      <c r="E88" s="144">
        <f t="shared" si="13"/>
        <v>5976930.6099999994</v>
      </c>
      <c r="F88" s="160">
        <v>0</v>
      </c>
      <c r="G88" s="160">
        <v>0</v>
      </c>
      <c r="H88" s="160">
        <v>0</v>
      </c>
      <c r="I88" s="160">
        <v>0</v>
      </c>
      <c r="J88" s="160">
        <v>0</v>
      </c>
      <c r="K88" s="160">
        <v>0</v>
      </c>
      <c r="L88" s="173">
        <v>0</v>
      </c>
      <c r="M88" s="153">
        <v>0</v>
      </c>
      <c r="N88" s="144">
        <v>559</v>
      </c>
      <c r="O88" s="153">
        <v>5736939.3499999996</v>
      </c>
      <c r="P88" s="153">
        <v>0</v>
      </c>
      <c r="Q88" s="153">
        <v>0</v>
      </c>
      <c r="R88" s="153">
        <v>0</v>
      </c>
      <c r="S88" s="153">
        <v>0</v>
      </c>
      <c r="T88" s="160">
        <v>0</v>
      </c>
      <c r="U88" s="160">
        <v>0</v>
      </c>
      <c r="V88" s="160">
        <v>0</v>
      </c>
      <c r="W88" s="160">
        <v>0</v>
      </c>
      <c r="X88" s="160">
        <v>0</v>
      </c>
      <c r="Y88" s="160">
        <v>153937.17000000001</v>
      </c>
      <c r="Z88" s="160">
        <f>ROUND(O88*1.5%,2)</f>
        <v>86054.09</v>
      </c>
      <c r="AA88" s="160">
        <v>0</v>
      </c>
      <c r="AB88" s="150">
        <v>2026</v>
      </c>
      <c r="AC88" s="150">
        <v>2026</v>
      </c>
      <c r="AD88" s="150">
        <v>2026</v>
      </c>
    </row>
    <row r="89" spans="1:30" x14ac:dyDescent="0.3">
      <c r="B89" s="147" t="s">
        <v>415</v>
      </c>
      <c r="C89" s="142"/>
      <c r="D89" s="143"/>
      <c r="E89" s="144">
        <f t="shared" ref="E89:AA89" si="14">E90</f>
        <v>15284190.040000001</v>
      </c>
      <c r="F89" s="144">
        <f t="shared" si="14"/>
        <v>0</v>
      </c>
      <c r="G89" s="144">
        <f t="shared" si="14"/>
        <v>0</v>
      </c>
      <c r="H89" s="144">
        <f t="shared" si="14"/>
        <v>0</v>
      </c>
      <c r="I89" s="144">
        <f t="shared" si="14"/>
        <v>0</v>
      </c>
      <c r="J89" s="144">
        <f t="shared" si="14"/>
        <v>0</v>
      </c>
      <c r="K89" s="144">
        <f t="shared" si="14"/>
        <v>0</v>
      </c>
      <c r="L89" s="145">
        <f t="shared" si="14"/>
        <v>0</v>
      </c>
      <c r="M89" s="144">
        <f t="shared" si="14"/>
        <v>0</v>
      </c>
      <c r="N89" s="144">
        <f t="shared" si="14"/>
        <v>1204</v>
      </c>
      <c r="O89" s="144">
        <f t="shared" si="14"/>
        <v>14686620.58</v>
      </c>
      <c r="P89" s="144">
        <f t="shared" si="14"/>
        <v>0</v>
      </c>
      <c r="Q89" s="144">
        <f t="shared" si="14"/>
        <v>0</v>
      </c>
      <c r="R89" s="144">
        <f t="shared" si="14"/>
        <v>0</v>
      </c>
      <c r="S89" s="144">
        <f t="shared" si="14"/>
        <v>0</v>
      </c>
      <c r="T89" s="144">
        <f t="shared" si="14"/>
        <v>0</v>
      </c>
      <c r="U89" s="144">
        <f t="shared" si="14"/>
        <v>0</v>
      </c>
      <c r="V89" s="144">
        <f t="shared" si="14"/>
        <v>0</v>
      </c>
      <c r="W89" s="144">
        <f t="shared" si="14"/>
        <v>0</v>
      </c>
      <c r="X89" s="144">
        <f t="shared" si="14"/>
        <v>0</v>
      </c>
      <c r="Y89" s="144">
        <f t="shared" si="14"/>
        <v>377270.15</v>
      </c>
      <c r="Z89" s="144">
        <f t="shared" si="14"/>
        <v>220299.31</v>
      </c>
      <c r="AA89" s="144">
        <f t="shared" si="14"/>
        <v>0</v>
      </c>
      <c r="AB89" s="146" t="s">
        <v>422</v>
      </c>
      <c r="AC89" s="146" t="s">
        <v>422</v>
      </c>
      <c r="AD89" s="146" t="s">
        <v>422</v>
      </c>
    </row>
    <row r="90" spans="1:30" x14ac:dyDescent="0.3">
      <c r="A90" s="121">
        <v>1</v>
      </c>
      <c r="B90" s="148">
        <f>SUBTOTAL(9,$A$19:A90)</f>
        <v>68</v>
      </c>
      <c r="C90" s="154" t="s">
        <v>153</v>
      </c>
      <c r="D90" s="163" t="s">
        <v>608</v>
      </c>
      <c r="E90" s="144">
        <f>F90+G90+H90+I90+J90+K90+M90+O90+Q90+S90+U90+V90+W90+X90+Y90+Z90+AA90</f>
        <v>15284190.040000001</v>
      </c>
      <c r="F90" s="160">
        <v>0</v>
      </c>
      <c r="G90" s="160">
        <v>0</v>
      </c>
      <c r="H90" s="160">
        <v>0</v>
      </c>
      <c r="I90" s="160">
        <v>0</v>
      </c>
      <c r="J90" s="160">
        <v>0</v>
      </c>
      <c r="K90" s="160">
        <v>0</v>
      </c>
      <c r="L90" s="162">
        <v>0</v>
      </c>
      <c r="M90" s="160">
        <v>0</v>
      </c>
      <c r="N90" s="160">
        <v>1204</v>
      </c>
      <c r="O90" s="160">
        <v>14686620.58</v>
      </c>
      <c r="P90" s="160">
        <v>0</v>
      </c>
      <c r="Q90" s="160">
        <v>0</v>
      </c>
      <c r="R90" s="160">
        <v>0</v>
      </c>
      <c r="S90" s="160">
        <v>0</v>
      </c>
      <c r="T90" s="160">
        <v>0</v>
      </c>
      <c r="U90" s="160">
        <v>0</v>
      </c>
      <c r="V90" s="160">
        <v>0</v>
      </c>
      <c r="W90" s="160">
        <v>0</v>
      </c>
      <c r="X90" s="160">
        <v>0</v>
      </c>
      <c r="Y90" s="153">
        <v>377270.15</v>
      </c>
      <c r="Z90" s="160">
        <f>ROUND(O90*1.5%,2)</f>
        <v>220299.31</v>
      </c>
      <c r="AA90" s="160">
        <v>0</v>
      </c>
      <c r="AB90" s="150">
        <v>2026</v>
      </c>
      <c r="AC90" s="150">
        <v>2026</v>
      </c>
      <c r="AD90" s="150">
        <v>2026</v>
      </c>
    </row>
    <row r="91" spans="1:30" x14ac:dyDescent="0.3">
      <c r="B91" s="147" t="s">
        <v>676</v>
      </c>
      <c r="C91" s="142"/>
      <c r="D91" s="143"/>
      <c r="E91" s="144">
        <f>SUM(E92:E105)</f>
        <v>179194506.43000004</v>
      </c>
      <c r="F91" s="144">
        <f t="shared" ref="F91:AA91" si="15">SUM(F92:F105)</f>
        <v>0</v>
      </c>
      <c r="G91" s="144">
        <f t="shared" si="15"/>
        <v>0</v>
      </c>
      <c r="H91" s="144">
        <f t="shared" si="15"/>
        <v>0</v>
      </c>
      <c r="I91" s="144">
        <f t="shared" si="15"/>
        <v>0</v>
      </c>
      <c r="J91" s="144">
        <f t="shared" si="15"/>
        <v>0</v>
      </c>
      <c r="K91" s="144">
        <f t="shared" si="15"/>
        <v>0</v>
      </c>
      <c r="L91" s="145">
        <f t="shared" si="15"/>
        <v>0</v>
      </c>
      <c r="M91" s="144">
        <f t="shared" si="15"/>
        <v>0</v>
      </c>
      <c r="N91" s="144">
        <f t="shared" si="15"/>
        <v>13647.82</v>
      </c>
      <c r="O91" s="144">
        <f t="shared" si="15"/>
        <v>172899255.28999999</v>
      </c>
      <c r="P91" s="144">
        <f t="shared" si="15"/>
        <v>0</v>
      </c>
      <c r="Q91" s="144">
        <f t="shared" si="15"/>
        <v>0</v>
      </c>
      <c r="R91" s="144">
        <f t="shared" si="15"/>
        <v>0</v>
      </c>
      <c r="S91" s="144">
        <f t="shared" si="15"/>
        <v>0</v>
      </c>
      <c r="T91" s="144">
        <f t="shared" si="15"/>
        <v>0</v>
      </c>
      <c r="U91" s="144">
        <f t="shared" si="15"/>
        <v>0</v>
      </c>
      <c r="V91" s="144">
        <f t="shared" si="15"/>
        <v>0</v>
      </c>
      <c r="W91" s="144">
        <f t="shared" si="15"/>
        <v>0</v>
      </c>
      <c r="X91" s="144">
        <f t="shared" si="15"/>
        <v>0</v>
      </c>
      <c r="Y91" s="144">
        <f t="shared" si="15"/>
        <v>3703204.28</v>
      </c>
      <c r="Z91" s="144">
        <f t="shared" si="15"/>
        <v>2592046.86</v>
      </c>
      <c r="AA91" s="144">
        <f t="shared" si="15"/>
        <v>0</v>
      </c>
      <c r="AB91" s="146" t="s">
        <v>422</v>
      </c>
      <c r="AC91" s="146" t="s">
        <v>422</v>
      </c>
      <c r="AD91" s="146" t="s">
        <v>422</v>
      </c>
    </row>
    <row r="92" spans="1:30" x14ac:dyDescent="0.3">
      <c r="A92" s="121">
        <v>1</v>
      </c>
      <c r="B92" s="148">
        <f>SUBTOTAL(9,$A$19:A92)</f>
        <v>69</v>
      </c>
      <c r="C92" s="154" t="s">
        <v>322</v>
      </c>
      <c r="D92" s="163" t="s">
        <v>609</v>
      </c>
      <c r="E92" s="144">
        <f t="shared" ref="E92:E100" si="16">F92+G92+H92+I92+J92+K92+M92+O92+Q92+S92+U92+V92+W92+X92+Z92+AA92+Y92</f>
        <v>10346680</v>
      </c>
      <c r="F92" s="160">
        <v>0</v>
      </c>
      <c r="G92" s="160">
        <v>0</v>
      </c>
      <c r="H92" s="160">
        <v>0</v>
      </c>
      <c r="I92" s="160">
        <v>0</v>
      </c>
      <c r="J92" s="160">
        <v>0</v>
      </c>
      <c r="K92" s="160">
        <v>0</v>
      </c>
      <c r="L92" s="159">
        <v>0</v>
      </c>
      <c r="M92" s="160">
        <v>0</v>
      </c>
      <c r="N92" s="160">
        <v>800</v>
      </c>
      <c r="O92" s="160">
        <v>9811079.1900000013</v>
      </c>
      <c r="P92" s="160">
        <v>0</v>
      </c>
      <c r="Q92" s="160">
        <v>0</v>
      </c>
      <c r="R92" s="160">
        <v>0</v>
      </c>
      <c r="S92" s="160">
        <v>0</v>
      </c>
      <c r="T92" s="160">
        <v>0</v>
      </c>
      <c r="U92" s="160">
        <v>0</v>
      </c>
      <c r="V92" s="160">
        <v>0</v>
      </c>
      <c r="W92" s="160">
        <v>0</v>
      </c>
      <c r="X92" s="160">
        <v>0</v>
      </c>
      <c r="Y92" s="153">
        <v>388434.62</v>
      </c>
      <c r="Z92" s="160">
        <f t="shared" ref="Z92:Z97" si="17">ROUND(O92*1.5%,2)</f>
        <v>147166.19</v>
      </c>
      <c r="AA92" s="160">
        <v>0</v>
      </c>
      <c r="AB92" s="150">
        <v>2026</v>
      </c>
      <c r="AC92" s="150">
        <v>2026</v>
      </c>
      <c r="AD92" s="150">
        <v>2026</v>
      </c>
    </row>
    <row r="93" spans="1:30" x14ac:dyDescent="0.3">
      <c r="A93" s="121">
        <v>1</v>
      </c>
      <c r="B93" s="148">
        <f>SUBTOTAL(9,$A$19:A93)</f>
        <v>70</v>
      </c>
      <c r="C93" s="154" t="s">
        <v>347</v>
      </c>
      <c r="D93" s="163" t="s">
        <v>609</v>
      </c>
      <c r="E93" s="144">
        <f t="shared" si="16"/>
        <v>14545369.560000001</v>
      </c>
      <c r="F93" s="160">
        <v>0</v>
      </c>
      <c r="G93" s="160">
        <v>0</v>
      </c>
      <c r="H93" s="160">
        <v>0</v>
      </c>
      <c r="I93" s="160">
        <v>0</v>
      </c>
      <c r="J93" s="160">
        <v>0</v>
      </c>
      <c r="K93" s="160">
        <v>0</v>
      </c>
      <c r="L93" s="159">
        <v>0</v>
      </c>
      <c r="M93" s="160">
        <v>0</v>
      </c>
      <c r="N93" s="160">
        <v>1145.8</v>
      </c>
      <c r="O93" s="160">
        <v>13920604.27</v>
      </c>
      <c r="P93" s="160">
        <v>0</v>
      </c>
      <c r="Q93" s="160">
        <v>0</v>
      </c>
      <c r="R93" s="160">
        <v>0</v>
      </c>
      <c r="S93" s="160">
        <v>0</v>
      </c>
      <c r="T93" s="160">
        <v>0</v>
      </c>
      <c r="U93" s="160">
        <v>0</v>
      </c>
      <c r="V93" s="160">
        <v>0</v>
      </c>
      <c r="W93" s="160">
        <v>0</v>
      </c>
      <c r="X93" s="160">
        <v>0</v>
      </c>
      <c r="Y93" s="153">
        <v>415956.23</v>
      </c>
      <c r="Z93" s="160">
        <f t="shared" si="17"/>
        <v>208809.06</v>
      </c>
      <c r="AA93" s="160">
        <v>0</v>
      </c>
      <c r="AB93" s="150">
        <v>2026</v>
      </c>
      <c r="AC93" s="150">
        <v>2026</v>
      </c>
      <c r="AD93" s="150">
        <v>2026</v>
      </c>
    </row>
    <row r="94" spans="1:30" x14ac:dyDescent="0.3">
      <c r="A94" s="121">
        <v>1</v>
      </c>
      <c r="B94" s="148">
        <f>SUBTOTAL(9,$A$19:A94)</f>
        <v>71</v>
      </c>
      <c r="C94" s="154" t="s">
        <v>346</v>
      </c>
      <c r="D94" s="163" t="s">
        <v>609</v>
      </c>
      <c r="E94" s="144">
        <f t="shared" si="16"/>
        <v>15753886.91</v>
      </c>
      <c r="F94" s="160">
        <v>0</v>
      </c>
      <c r="G94" s="160">
        <v>0</v>
      </c>
      <c r="H94" s="160">
        <v>0</v>
      </c>
      <c r="I94" s="160">
        <v>0</v>
      </c>
      <c r="J94" s="160">
        <v>0</v>
      </c>
      <c r="K94" s="160">
        <v>0</v>
      </c>
      <c r="L94" s="159">
        <v>0</v>
      </c>
      <c r="M94" s="160">
        <v>0</v>
      </c>
      <c r="N94" s="160">
        <v>1241</v>
      </c>
      <c r="O94" s="160">
        <v>15194043.140000001</v>
      </c>
      <c r="P94" s="160">
        <v>0</v>
      </c>
      <c r="Q94" s="160">
        <v>0</v>
      </c>
      <c r="R94" s="160">
        <v>0</v>
      </c>
      <c r="S94" s="160">
        <v>0</v>
      </c>
      <c r="T94" s="160">
        <v>0</v>
      </c>
      <c r="U94" s="160">
        <v>0</v>
      </c>
      <c r="V94" s="160">
        <v>0</v>
      </c>
      <c r="W94" s="160">
        <v>0</v>
      </c>
      <c r="X94" s="160">
        <v>0</v>
      </c>
      <c r="Y94" s="153">
        <v>331933.12</v>
      </c>
      <c r="Z94" s="160">
        <f t="shared" si="17"/>
        <v>227910.65</v>
      </c>
      <c r="AA94" s="160">
        <v>0</v>
      </c>
      <c r="AB94" s="150">
        <v>2026</v>
      </c>
      <c r="AC94" s="150">
        <v>2026</v>
      </c>
      <c r="AD94" s="150">
        <v>2026</v>
      </c>
    </row>
    <row r="95" spans="1:30" x14ac:dyDescent="0.3">
      <c r="A95" s="121">
        <v>1</v>
      </c>
      <c r="B95" s="148">
        <f>SUBTOTAL(9,$A$19:A95)</f>
        <v>72</v>
      </c>
      <c r="C95" s="154" t="s">
        <v>324</v>
      </c>
      <c r="D95" s="163" t="s">
        <v>609</v>
      </c>
      <c r="E95" s="144">
        <f t="shared" si="16"/>
        <v>10864014</v>
      </c>
      <c r="F95" s="160">
        <v>0</v>
      </c>
      <c r="G95" s="160">
        <v>0</v>
      </c>
      <c r="H95" s="160">
        <v>0</v>
      </c>
      <c r="I95" s="160">
        <v>0</v>
      </c>
      <c r="J95" s="160">
        <v>0</v>
      </c>
      <c r="K95" s="160">
        <v>0</v>
      </c>
      <c r="L95" s="159">
        <v>0</v>
      </c>
      <c r="M95" s="160">
        <v>0</v>
      </c>
      <c r="N95" s="160">
        <v>840</v>
      </c>
      <c r="O95" s="160">
        <v>10406963.34</v>
      </c>
      <c r="P95" s="160">
        <v>0</v>
      </c>
      <c r="Q95" s="160">
        <v>0</v>
      </c>
      <c r="R95" s="160">
        <v>0</v>
      </c>
      <c r="S95" s="160">
        <v>0</v>
      </c>
      <c r="T95" s="160">
        <v>0</v>
      </c>
      <c r="U95" s="160">
        <v>0</v>
      </c>
      <c r="V95" s="160">
        <v>0</v>
      </c>
      <c r="W95" s="160">
        <v>0</v>
      </c>
      <c r="X95" s="160">
        <v>0</v>
      </c>
      <c r="Y95" s="153">
        <v>300946.21000000002</v>
      </c>
      <c r="Z95" s="160">
        <f t="shared" si="17"/>
        <v>156104.45000000001</v>
      </c>
      <c r="AA95" s="160">
        <v>0</v>
      </c>
      <c r="AB95" s="150">
        <v>2026</v>
      </c>
      <c r="AC95" s="150">
        <v>2026</v>
      </c>
      <c r="AD95" s="150">
        <v>2026</v>
      </c>
    </row>
    <row r="96" spans="1:30" x14ac:dyDescent="0.3">
      <c r="A96" s="121">
        <v>1</v>
      </c>
      <c r="B96" s="148">
        <f>SUBTOTAL(9,$A$19:A96)</f>
        <v>73</v>
      </c>
      <c r="C96" s="154" t="s">
        <v>342</v>
      </c>
      <c r="D96" s="163" t="s">
        <v>609</v>
      </c>
      <c r="E96" s="144">
        <f t="shared" si="16"/>
        <v>15905327.5</v>
      </c>
      <c r="F96" s="160">
        <v>0</v>
      </c>
      <c r="G96" s="160">
        <v>0</v>
      </c>
      <c r="H96" s="160">
        <v>0</v>
      </c>
      <c r="I96" s="160">
        <v>0</v>
      </c>
      <c r="J96" s="160">
        <v>0</v>
      </c>
      <c r="K96" s="160">
        <v>0</v>
      </c>
      <c r="L96" s="159">
        <v>0</v>
      </c>
      <c r="M96" s="160">
        <v>0</v>
      </c>
      <c r="N96" s="160">
        <v>1100</v>
      </c>
      <c r="O96" s="160">
        <f>13720871.92+1653834.98</f>
        <v>15374706.9</v>
      </c>
      <c r="P96" s="160">
        <v>0</v>
      </c>
      <c r="Q96" s="160">
        <v>0</v>
      </c>
      <c r="R96" s="160">
        <v>0</v>
      </c>
      <c r="S96" s="160">
        <v>0</v>
      </c>
      <c r="T96" s="160">
        <v>0</v>
      </c>
      <c r="U96" s="160">
        <v>0</v>
      </c>
      <c r="V96" s="160">
        <v>0</v>
      </c>
      <c r="W96" s="160">
        <v>0</v>
      </c>
      <c r="X96" s="160">
        <v>0</v>
      </c>
      <c r="Y96" s="160">
        <v>300000</v>
      </c>
      <c r="Z96" s="160">
        <f t="shared" si="17"/>
        <v>230620.6</v>
      </c>
      <c r="AA96" s="160">
        <v>0</v>
      </c>
      <c r="AB96" s="150">
        <v>2026</v>
      </c>
      <c r="AC96" s="150">
        <v>2026</v>
      </c>
      <c r="AD96" s="150">
        <v>2026</v>
      </c>
    </row>
    <row r="97" spans="1:30" x14ac:dyDescent="0.3">
      <c r="A97" s="121">
        <v>1</v>
      </c>
      <c r="B97" s="148">
        <f>SUBTOTAL(9,$A$19:A97)</f>
        <v>74</v>
      </c>
      <c r="C97" s="154" t="s">
        <v>340</v>
      </c>
      <c r="D97" s="163" t="s">
        <v>609</v>
      </c>
      <c r="E97" s="144">
        <f t="shared" si="16"/>
        <v>26223660.460000001</v>
      </c>
      <c r="F97" s="160">
        <v>0</v>
      </c>
      <c r="G97" s="160">
        <v>0</v>
      </c>
      <c r="H97" s="160">
        <v>0</v>
      </c>
      <c r="I97" s="160">
        <v>0</v>
      </c>
      <c r="J97" s="160">
        <v>0</v>
      </c>
      <c r="K97" s="160">
        <v>0</v>
      </c>
      <c r="L97" s="159">
        <v>0</v>
      </c>
      <c r="M97" s="160">
        <v>0</v>
      </c>
      <c r="N97" s="160">
        <v>2027.6</v>
      </c>
      <c r="O97" s="160">
        <v>25540552.18</v>
      </c>
      <c r="P97" s="160">
        <v>0</v>
      </c>
      <c r="Q97" s="160">
        <v>0</v>
      </c>
      <c r="R97" s="160">
        <v>0</v>
      </c>
      <c r="S97" s="160">
        <v>0</v>
      </c>
      <c r="T97" s="160">
        <v>0</v>
      </c>
      <c r="U97" s="160">
        <v>0</v>
      </c>
      <c r="V97" s="160">
        <v>0</v>
      </c>
      <c r="W97" s="160">
        <v>0</v>
      </c>
      <c r="X97" s="160">
        <v>0</v>
      </c>
      <c r="Y97" s="160">
        <v>300000</v>
      </c>
      <c r="Z97" s="160">
        <f t="shared" si="17"/>
        <v>383108.28</v>
      </c>
      <c r="AA97" s="160">
        <v>0</v>
      </c>
      <c r="AB97" s="150">
        <v>2026</v>
      </c>
      <c r="AC97" s="150">
        <v>2026</v>
      </c>
      <c r="AD97" s="150">
        <v>2026</v>
      </c>
    </row>
    <row r="98" spans="1:30" x14ac:dyDescent="0.3">
      <c r="A98" s="121">
        <v>1</v>
      </c>
      <c r="B98" s="148">
        <f>SUBTOTAL(9,$A$19:A98)</f>
        <v>75</v>
      </c>
      <c r="C98" s="154" t="s">
        <v>593</v>
      </c>
      <c r="D98" s="163" t="s">
        <v>609</v>
      </c>
      <c r="E98" s="144">
        <f t="shared" si="16"/>
        <v>7832191.2000000002</v>
      </c>
      <c r="F98" s="160">
        <v>0</v>
      </c>
      <c r="G98" s="160">
        <v>0</v>
      </c>
      <c r="H98" s="160">
        <v>0</v>
      </c>
      <c r="I98" s="160">
        <v>0</v>
      </c>
      <c r="J98" s="160">
        <v>0</v>
      </c>
      <c r="K98" s="160">
        <v>0</v>
      </c>
      <c r="L98" s="159">
        <v>0</v>
      </c>
      <c r="M98" s="160">
        <v>0</v>
      </c>
      <c r="N98" s="151">
        <v>609.4</v>
      </c>
      <c r="O98" s="153">
        <f>6710447.61+1006567.14</f>
        <v>7717014.75</v>
      </c>
      <c r="P98" s="160">
        <v>0</v>
      </c>
      <c r="Q98" s="160">
        <v>0</v>
      </c>
      <c r="R98" s="160">
        <v>0</v>
      </c>
      <c r="S98" s="160">
        <v>0</v>
      </c>
      <c r="T98" s="160">
        <v>0</v>
      </c>
      <c r="U98" s="160">
        <v>0</v>
      </c>
      <c r="V98" s="160">
        <v>0</v>
      </c>
      <c r="W98" s="160">
        <v>0</v>
      </c>
      <c r="X98" s="160">
        <v>0</v>
      </c>
      <c r="Y98" s="160">
        <v>0</v>
      </c>
      <c r="Z98" s="153">
        <f>ROUND(O98*1.4925%,2)</f>
        <v>115176.45</v>
      </c>
      <c r="AA98" s="160">
        <v>0</v>
      </c>
      <c r="AB98" s="150" t="s">
        <v>425</v>
      </c>
      <c r="AC98" s="150">
        <v>2026</v>
      </c>
      <c r="AD98" s="150">
        <v>2026</v>
      </c>
    </row>
    <row r="99" spans="1:30" x14ac:dyDescent="0.3">
      <c r="A99" s="121">
        <v>1</v>
      </c>
      <c r="B99" s="148">
        <f>SUBTOTAL(9,$A$19:A99)</f>
        <v>76</v>
      </c>
      <c r="C99" s="154" t="s">
        <v>348</v>
      </c>
      <c r="D99" s="163" t="s">
        <v>609</v>
      </c>
      <c r="E99" s="144">
        <f t="shared" si="16"/>
        <v>18432428.520000003</v>
      </c>
      <c r="F99" s="160">
        <v>0</v>
      </c>
      <c r="G99" s="160">
        <v>0</v>
      </c>
      <c r="H99" s="160">
        <v>0</v>
      </c>
      <c r="I99" s="160">
        <v>0</v>
      </c>
      <c r="J99" s="160">
        <v>0</v>
      </c>
      <c r="K99" s="160">
        <v>0</v>
      </c>
      <c r="L99" s="159">
        <v>0</v>
      </c>
      <c r="M99" s="160">
        <v>0</v>
      </c>
      <c r="N99" s="160">
        <v>1452</v>
      </c>
      <c r="O99" s="160">
        <v>17713731.780000001</v>
      </c>
      <c r="P99" s="160">
        <v>0</v>
      </c>
      <c r="Q99" s="160">
        <v>0</v>
      </c>
      <c r="R99" s="160">
        <v>0</v>
      </c>
      <c r="S99" s="160">
        <v>0</v>
      </c>
      <c r="T99" s="160">
        <v>0</v>
      </c>
      <c r="U99" s="160">
        <v>0</v>
      </c>
      <c r="V99" s="160">
        <v>0</v>
      </c>
      <c r="W99" s="160">
        <v>0</v>
      </c>
      <c r="X99" s="160">
        <v>0</v>
      </c>
      <c r="Y99" s="153">
        <v>452990.76</v>
      </c>
      <c r="Z99" s="160">
        <f>ROUND(O99*1.5%,2)</f>
        <v>265705.98</v>
      </c>
      <c r="AA99" s="160">
        <v>0</v>
      </c>
      <c r="AB99" s="150">
        <v>2026</v>
      </c>
      <c r="AC99" s="150">
        <v>2026</v>
      </c>
      <c r="AD99" s="150">
        <v>2026</v>
      </c>
    </row>
    <row r="100" spans="1:30" x14ac:dyDescent="0.3">
      <c r="A100" s="121">
        <v>1</v>
      </c>
      <c r="B100" s="148">
        <f>SUBTOTAL(9,$A$19:A100)</f>
        <v>77</v>
      </c>
      <c r="C100" s="154" t="s">
        <v>353</v>
      </c>
      <c r="D100" s="163" t="s">
        <v>609</v>
      </c>
      <c r="E100" s="144">
        <f t="shared" si="16"/>
        <v>8873462.4900000002</v>
      </c>
      <c r="F100" s="160">
        <v>0</v>
      </c>
      <c r="G100" s="160">
        <v>0</v>
      </c>
      <c r="H100" s="160">
        <v>0</v>
      </c>
      <c r="I100" s="160">
        <v>0</v>
      </c>
      <c r="J100" s="160">
        <v>0</v>
      </c>
      <c r="K100" s="160">
        <v>0</v>
      </c>
      <c r="L100" s="159">
        <v>0</v>
      </c>
      <c r="M100" s="160">
        <v>0</v>
      </c>
      <c r="N100" s="160">
        <v>699</v>
      </c>
      <c r="O100" s="160">
        <v>8496022.1600000001</v>
      </c>
      <c r="P100" s="160">
        <v>0</v>
      </c>
      <c r="Q100" s="160">
        <v>0</v>
      </c>
      <c r="R100" s="160">
        <v>0</v>
      </c>
      <c r="S100" s="160">
        <v>0</v>
      </c>
      <c r="T100" s="160">
        <v>0</v>
      </c>
      <c r="U100" s="160">
        <v>0</v>
      </c>
      <c r="V100" s="160">
        <v>0</v>
      </c>
      <c r="W100" s="160">
        <v>0</v>
      </c>
      <c r="X100" s="160">
        <v>0</v>
      </c>
      <c r="Y100" s="160">
        <v>250000</v>
      </c>
      <c r="Z100" s="160">
        <f>ROUND(O100*1.5%,2)</f>
        <v>127440.33</v>
      </c>
      <c r="AA100" s="160">
        <v>0</v>
      </c>
      <c r="AB100" s="150">
        <v>2026</v>
      </c>
      <c r="AC100" s="150">
        <v>2026</v>
      </c>
      <c r="AD100" s="150">
        <v>2026</v>
      </c>
    </row>
    <row r="101" spans="1:30" s="165" customFormat="1" x14ac:dyDescent="0.3">
      <c r="A101" s="121">
        <v>1</v>
      </c>
      <c r="B101" s="148">
        <f>SUBTOTAL(9,$A$19:A101)</f>
        <v>78</v>
      </c>
      <c r="C101" s="161" t="s">
        <v>604</v>
      </c>
      <c r="D101" s="175" t="s">
        <v>609</v>
      </c>
      <c r="E101" s="153">
        <f>F101+G101+H101+I101+J101+K101+M101+O101+Q101+S101+U101+V101+W101+X101+Y101+Z101+AA101</f>
        <v>11681001.229999999</v>
      </c>
      <c r="F101" s="158">
        <v>0</v>
      </c>
      <c r="G101" s="158">
        <v>0</v>
      </c>
      <c r="H101" s="158">
        <v>0</v>
      </c>
      <c r="I101" s="158">
        <v>0</v>
      </c>
      <c r="J101" s="158">
        <v>0</v>
      </c>
      <c r="K101" s="158">
        <v>0</v>
      </c>
      <c r="L101" s="159">
        <v>0</v>
      </c>
      <c r="M101" s="158">
        <v>0</v>
      </c>
      <c r="N101" s="153">
        <v>694.36</v>
      </c>
      <c r="O101" s="153">
        <f>11232509.49+276716.54</f>
        <v>11509226.029999999</v>
      </c>
      <c r="P101" s="158">
        <v>0</v>
      </c>
      <c r="Q101" s="158">
        <v>0</v>
      </c>
      <c r="R101" s="158">
        <v>0</v>
      </c>
      <c r="S101" s="158">
        <v>0</v>
      </c>
      <c r="T101" s="158">
        <v>0</v>
      </c>
      <c r="U101" s="158">
        <v>0</v>
      </c>
      <c r="V101" s="158">
        <v>0</v>
      </c>
      <c r="W101" s="158">
        <v>0</v>
      </c>
      <c r="X101" s="158">
        <v>0</v>
      </c>
      <c r="Y101" s="153">
        <v>0</v>
      </c>
      <c r="Z101" s="153">
        <f>ROUND(O101*1.4925%,2)</f>
        <v>171775.2</v>
      </c>
      <c r="AA101" s="158">
        <v>0</v>
      </c>
      <c r="AB101" s="132" t="s">
        <v>425</v>
      </c>
      <c r="AC101" s="132">
        <v>2026</v>
      </c>
      <c r="AD101" s="132">
        <v>2026</v>
      </c>
    </row>
    <row r="102" spans="1:30" x14ac:dyDescent="0.3">
      <c r="A102" s="121">
        <v>1</v>
      </c>
      <c r="B102" s="148">
        <f>SUBTOTAL(9,$A$19:A102)</f>
        <v>79</v>
      </c>
      <c r="C102" s="154" t="s">
        <v>362</v>
      </c>
      <c r="D102" s="163" t="s">
        <v>609</v>
      </c>
      <c r="E102" s="144">
        <f>F102+G102+H102+I102+J102+K102+M102+O102+Q102+S102+U102+V102+W102+X102+Z102+AA102+Y102</f>
        <v>10424280.1</v>
      </c>
      <c r="F102" s="160">
        <v>0</v>
      </c>
      <c r="G102" s="160">
        <v>0</v>
      </c>
      <c r="H102" s="160">
        <v>0</v>
      </c>
      <c r="I102" s="160">
        <v>0</v>
      </c>
      <c r="J102" s="160">
        <v>0</v>
      </c>
      <c r="K102" s="160">
        <v>0</v>
      </c>
      <c r="L102" s="159">
        <v>0</v>
      </c>
      <c r="M102" s="160">
        <v>0</v>
      </c>
      <c r="N102" s="160">
        <v>806</v>
      </c>
      <c r="O102" s="160">
        <v>10023921.279999999</v>
      </c>
      <c r="P102" s="160">
        <v>0</v>
      </c>
      <c r="Q102" s="160">
        <v>0</v>
      </c>
      <c r="R102" s="160">
        <v>0</v>
      </c>
      <c r="S102" s="160">
        <v>0</v>
      </c>
      <c r="T102" s="160">
        <v>0</v>
      </c>
      <c r="U102" s="160">
        <v>0</v>
      </c>
      <c r="V102" s="160">
        <v>0</v>
      </c>
      <c r="W102" s="160">
        <v>0</v>
      </c>
      <c r="X102" s="160">
        <v>0</v>
      </c>
      <c r="Y102" s="160">
        <v>250000</v>
      </c>
      <c r="Z102" s="160">
        <f>ROUND(O102*1.5%,2)</f>
        <v>150358.82</v>
      </c>
      <c r="AA102" s="160">
        <v>0</v>
      </c>
      <c r="AB102" s="150">
        <v>2026</v>
      </c>
      <c r="AC102" s="150">
        <v>2026</v>
      </c>
      <c r="AD102" s="150">
        <v>2026</v>
      </c>
    </row>
    <row r="103" spans="1:30" x14ac:dyDescent="0.3">
      <c r="A103" s="121">
        <v>1</v>
      </c>
      <c r="B103" s="148">
        <f>SUBTOTAL(9,$A$19:A103)</f>
        <v>80</v>
      </c>
      <c r="C103" s="154" t="s">
        <v>364</v>
      </c>
      <c r="D103" s="163" t="s">
        <v>609</v>
      </c>
      <c r="E103" s="144">
        <f>F103+G103+H103+I103+J103+K103+M103+O103+Q103+S103+U103+V103+W103+X103+Z103+AA103+Y103</f>
        <v>10260484.299999999</v>
      </c>
      <c r="F103" s="160">
        <v>0</v>
      </c>
      <c r="G103" s="160">
        <v>0</v>
      </c>
      <c r="H103" s="160">
        <v>0</v>
      </c>
      <c r="I103" s="160">
        <v>0</v>
      </c>
      <c r="J103" s="160">
        <v>0</v>
      </c>
      <c r="K103" s="160">
        <v>0</v>
      </c>
      <c r="L103" s="159">
        <v>0</v>
      </c>
      <c r="M103" s="160">
        <v>0</v>
      </c>
      <c r="N103" s="160">
        <v>571.46</v>
      </c>
      <c r="O103" s="160">
        <v>9899055.129999999</v>
      </c>
      <c r="P103" s="160">
        <v>0</v>
      </c>
      <c r="Q103" s="160">
        <v>0</v>
      </c>
      <c r="R103" s="160">
        <v>0</v>
      </c>
      <c r="S103" s="160">
        <v>0</v>
      </c>
      <c r="T103" s="160">
        <v>0</v>
      </c>
      <c r="U103" s="160">
        <v>0</v>
      </c>
      <c r="V103" s="160">
        <v>0</v>
      </c>
      <c r="W103" s="160">
        <v>0</v>
      </c>
      <c r="X103" s="160">
        <v>0</v>
      </c>
      <c r="Y103" s="153">
        <v>212943.34</v>
      </c>
      <c r="Z103" s="160">
        <f>ROUND(O103*1.5%,2)</f>
        <v>148485.82999999999</v>
      </c>
      <c r="AA103" s="160">
        <v>0</v>
      </c>
      <c r="AB103" s="150">
        <v>2026</v>
      </c>
      <c r="AC103" s="150">
        <v>2026</v>
      </c>
      <c r="AD103" s="150">
        <v>2026</v>
      </c>
    </row>
    <row r="104" spans="1:30" x14ac:dyDescent="0.3">
      <c r="A104" s="121">
        <v>1</v>
      </c>
      <c r="B104" s="148">
        <f>SUBTOTAL(9,$A$19:A104)</f>
        <v>81</v>
      </c>
      <c r="C104" s="154" t="s">
        <v>363</v>
      </c>
      <c r="D104" s="163" t="s">
        <v>609</v>
      </c>
      <c r="E104" s="144">
        <f>F104+G104+H104+I104+J104+K104+M104+O104+Q104+S104+U104+V104+W104+X104+Z104+AA104+Y104</f>
        <v>12290824.58</v>
      </c>
      <c r="F104" s="160">
        <v>0</v>
      </c>
      <c r="G104" s="160">
        <v>0</v>
      </c>
      <c r="H104" s="160">
        <v>0</v>
      </c>
      <c r="I104" s="160">
        <v>0</v>
      </c>
      <c r="J104" s="160">
        <v>0</v>
      </c>
      <c r="K104" s="160">
        <v>0</v>
      </c>
      <c r="L104" s="159">
        <v>0</v>
      </c>
      <c r="M104" s="160">
        <v>0</v>
      </c>
      <c r="N104" s="160">
        <v>968.2</v>
      </c>
      <c r="O104" s="160">
        <v>11813620.279999999</v>
      </c>
      <c r="P104" s="160">
        <v>0</v>
      </c>
      <c r="Q104" s="160">
        <v>0</v>
      </c>
      <c r="R104" s="160">
        <v>0</v>
      </c>
      <c r="S104" s="160">
        <v>0</v>
      </c>
      <c r="T104" s="160">
        <v>0</v>
      </c>
      <c r="U104" s="160">
        <v>0</v>
      </c>
      <c r="V104" s="160">
        <v>0</v>
      </c>
      <c r="W104" s="160">
        <v>0</v>
      </c>
      <c r="X104" s="160">
        <v>0</v>
      </c>
      <c r="Y104" s="160">
        <v>300000</v>
      </c>
      <c r="Z104" s="160">
        <f>ROUND(O104*1.5%,2)</f>
        <v>177204.3</v>
      </c>
      <c r="AA104" s="160">
        <v>0</v>
      </c>
      <c r="AB104" s="150">
        <v>2026</v>
      </c>
      <c r="AC104" s="150">
        <v>2026</v>
      </c>
      <c r="AD104" s="150">
        <v>2026</v>
      </c>
    </row>
    <row r="105" spans="1:30" x14ac:dyDescent="0.3">
      <c r="A105" s="121">
        <v>1</v>
      </c>
      <c r="B105" s="148">
        <f>SUBTOTAL(9,$A$19:A105)</f>
        <v>82</v>
      </c>
      <c r="C105" s="154" t="s">
        <v>352</v>
      </c>
      <c r="D105" s="163" t="s">
        <v>609</v>
      </c>
      <c r="E105" s="144">
        <f>F105+G105+H105+I105+J105+K105+M105+O105+Q105+S105+U105+V105+W105+X105+Z105+AA105+Y105</f>
        <v>5760895.5800000001</v>
      </c>
      <c r="F105" s="160">
        <v>0</v>
      </c>
      <c r="G105" s="160">
        <v>0</v>
      </c>
      <c r="H105" s="160">
        <v>0</v>
      </c>
      <c r="I105" s="160">
        <v>0</v>
      </c>
      <c r="J105" s="160">
        <v>0</v>
      </c>
      <c r="K105" s="160">
        <v>0</v>
      </c>
      <c r="L105" s="159">
        <v>0</v>
      </c>
      <c r="M105" s="160">
        <v>0</v>
      </c>
      <c r="N105" s="160">
        <v>693</v>
      </c>
      <c r="O105" s="160">
        <v>5478714.8600000003</v>
      </c>
      <c r="P105" s="160">
        <v>0</v>
      </c>
      <c r="Q105" s="160">
        <v>0</v>
      </c>
      <c r="R105" s="160">
        <v>0</v>
      </c>
      <c r="S105" s="160">
        <v>0</v>
      </c>
      <c r="T105" s="160">
        <v>0</v>
      </c>
      <c r="U105" s="160">
        <v>0</v>
      </c>
      <c r="V105" s="160">
        <v>0</v>
      </c>
      <c r="W105" s="160">
        <v>0</v>
      </c>
      <c r="X105" s="160">
        <v>0</v>
      </c>
      <c r="Y105" s="160">
        <v>200000</v>
      </c>
      <c r="Z105" s="160">
        <f>ROUND(O105*1.5%,2)</f>
        <v>82180.72</v>
      </c>
      <c r="AA105" s="160">
        <v>0</v>
      </c>
      <c r="AB105" s="150">
        <v>2026</v>
      </c>
      <c r="AC105" s="150">
        <v>2026</v>
      </c>
      <c r="AD105" s="150">
        <v>2026</v>
      </c>
    </row>
    <row r="106" spans="1:30" x14ac:dyDescent="0.3">
      <c r="B106" s="147" t="s">
        <v>502</v>
      </c>
      <c r="C106" s="147"/>
      <c r="D106" s="150"/>
      <c r="E106" s="153">
        <f>E107+E108+E109+E110</f>
        <v>30681980.5</v>
      </c>
      <c r="F106" s="153">
        <f t="shared" ref="F106:AA106" si="18">F107+F108+F109+F110</f>
        <v>0</v>
      </c>
      <c r="G106" s="153">
        <f t="shared" si="18"/>
        <v>0</v>
      </c>
      <c r="H106" s="153">
        <f t="shared" si="18"/>
        <v>0</v>
      </c>
      <c r="I106" s="153">
        <f t="shared" si="18"/>
        <v>0</v>
      </c>
      <c r="J106" s="153">
        <f t="shared" si="18"/>
        <v>0</v>
      </c>
      <c r="K106" s="153">
        <f t="shared" si="18"/>
        <v>0</v>
      </c>
      <c r="L106" s="173">
        <f t="shared" si="18"/>
        <v>0</v>
      </c>
      <c r="M106" s="153">
        <f t="shared" si="18"/>
        <v>0</v>
      </c>
      <c r="N106" s="153">
        <f t="shared" si="18"/>
        <v>2340</v>
      </c>
      <c r="O106" s="153">
        <f t="shared" si="18"/>
        <v>28406775.870000001</v>
      </c>
      <c r="P106" s="153">
        <f t="shared" si="18"/>
        <v>0</v>
      </c>
      <c r="Q106" s="153">
        <f t="shared" si="18"/>
        <v>0</v>
      </c>
      <c r="R106" s="153">
        <f t="shared" si="18"/>
        <v>0</v>
      </c>
      <c r="S106" s="153">
        <f t="shared" si="18"/>
        <v>0</v>
      </c>
      <c r="T106" s="153">
        <f t="shared" si="18"/>
        <v>150</v>
      </c>
      <c r="U106" s="153">
        <f t="shared" si="18"/>
        <v>886699.51</v>
      </c>
      <c r="V106" s="153">
        <f t="shared" si="18"/>
        <v>0</v>
      </c>
      <c r="W106" s="153">
        <f t="shared" si="18"/>
        <v>0</v>
      </c>
      <c r="X106" s="153">
        <f t="shared" si="18"/>
        <v>0</v>
      </c>
      <c r="Y106" s="153">
        <f t="shared" si="18"/>
        <v>949102.99</v>
      </c>
      <c r="Z106" s="153">
        <f t="shared" si="18"/>
        <v>439402.13</v>
      </c>
      <c r="AA106" s="153">
        <f t="shared" si="18"/>
        <v>0</v>
      </c>
      <c r="AB106" s="146" t="s">
        <v>422</v>
      </c>
      <c r="AC106" s="146" t="s">
        <v>422</v>
      </c>
      <c r="AD106" s="146" t="s">
        <v>422</v>
      </c>
    </row>
    <row r="107" spans="1:30" x14ac:dyDescent="0.3">
      <c r="A107" s="121">
        <v>1</v>
      </c>
      <c r="B107" s="148">
        <f>SUBTOTAL(9,$A$19:A107)</f>
        <v>83</v>
      </c>
      <c r="C107" s="154" t="s">
        <v>597</v>
      </c>
      <c r="D107" s="150" t="s">
        <v>610</v>
      </c>
      <c r="E107" s="144">
        <f>F107+G107+H107+I107+J107+K107+M107+O107+Q107+S107+U107+V107+W107+X107+Z107+AA107+Y107</f>
        <v>10500000</v>
      </c>
      <c r="F107" s="160">
        <v>0</v>
      </c>
      <c r="G107" s="160">
        <v>0</v>
      </c>
      <c r="H107" s="160">
        <v>0</v>
      </c>
      <c r="I107" s="160">
        <v>0</v>
      </c>
      <c r="J107" s="160">
        <v>0</v>
      </c>
      <c r="K107" s="160">
        <v>0</v>
      </c>
      <c r="L107" s="159">
        <v>0</v>
      </c>
      <c r="M107" s="160">
        <v>0</v>
      </c>
      <c r="N107" s="160">
        <v>845</v>
      </c>
      <c r="O107" s="160">
        <v>10098522.17</v>
      </c>
      <c r="P107" s="160">
        <v>0</v>
      </c>
      <c r="Q107" s="160">
        <v>0</v>
      </c>
      <c r="R107" s="160">
        <v>0</v>
      </c>
      <c r="S107" s="160">
        <v>0</v>
      </c>
      <c r="T107" s="160">
        <v>0</v>
      </c>
      <c r="U107" s="160">
        <v>0</v>
      </c>
      <c r="V107" s="160">
        <v>0</v>
      </c>
      <c r="W107" s="160">
        <v>0</v>
      </c>
      <c r="X107" s="160">
        <v>0</v>
      </c>
      <c r="Y107" s="160">
        <v>250000</v>
      </c>
      <c r="Z107" s="160">
        <f>ROUND(O107*1.5%,2)</f>
        <v>151477.82999999999</v>
      </c>
      <c r="AA107" s="160">
        <v>0</v>
      </c>
      <c r="AB107" s="150">
        <v>2026</v>
      </c>
      <c r="AC107" s="150">
        <v>2026</v>
      </c>
      <c r="AD107" s="150">
        <v>2026</v>
      </c>
    </row>
    <row r="108" spans="1:30" x14ac:dyDescent="0.3">
      <c r="A108" s="121">
        <v>1</v>
      </c>
      <c r="B108" s="148">
        <f>SUBTOTAL(9,$A$19:A108)</f>
        <v>84</v>
      </c>
      <c r="C108" s="154" t="s">
        <v>380</v>
      </c>
      <c r="D108" s="150" t="s">
        <v>610</v>
      </c>
      <c r="E108" s="144">
        <f>F108+G108+H108+I108+J108+K108+M108+O108+Q108+S108+U108+V108+W108+X108+Z108+AA108+Y108</f>
        <v>13000000</v>
      </c>
      <c r="F108" s="160">
        <v>0</v>
      </c>
      <c r="G108" s="160">
        <v>0</v>
      </c>
      <c r="H108" s="160">
        <v>0</v>
      </c>
      <c r="I108" s="160">
        <v>0</v>
      </c>
      <c r="J108" s="160">
        <v>0</v>
      </c>
      <c r="K108" s="160">
        <v>0</v>
      </c>
      <c r="L108" s="159">
        <v>0</v>
      </c>
      <c r="M108" s="160">
        <v>0</v>
      </c>
      <c r="N108" s="160">
        <v>945</v>
      </c>
      <c r="O108" s="160">
        <v>11576354.68</v>
      </c>
      <c r="P108" s="160">
        <v>0</v>
      </c>
      <c r="Q108" s="160">
        <v>0</v>
      </c>
      <c r="R108" s="160">
        <v>0</v>
      </c>
      <c r="S108" s="160">
        <v>0</v>
      </c>
      <c r="T108" s="160">
        <v>150</v>
      </c>
      <c r="U108" s="160">
        <v>886699.51</v>
      </c>
      <c r="V108" s="160">
        <v>0</v>
      </c>
      <c r="W108" s="160">
        <v>0</v>
      </c>
      <c r="X108" s="160">
        <v>0</v>
      </c>
      <c r="Y108" s="160">
        <v>350000</v>
      </c>
      <c r="Z108" s="160">
        <f>ROUND(O108*1.5%,2)+ROUND(U108*1.5%,2)</f>
        <v>186945.81</v>
      </c>
      <c r="AA108" s="160">
        <v>0</v>
      </c>
      <c r="AB108" s="150">
        <v>2026</v>
      </c>
      <c r="AC108" s="150">
        <v>2026</v>
      </c>
      <c r="AD108" s="150">
        <v>2026</v>
      </c>
    </row>
    <row r="109" spans="1:30" x14ac:dyDescent="0.3">
      <c r="A109" s="121">
        <v>1</v>
      </c>
      <c r="B109" s="148">
        <f>SUBTOTAL(9,$A$19:A109)</f>
        <v>85</v>
      </c>
      <c r="C109" s="154" t="s">
        <v>598</v>
      </c>
      <c r="D109" s="150" t="s">
        <v>610</v>
      </c>
      <c r="E109" s="144">
        <f>F109+G109+H109+I109+J109+K109+M109+O109+Q109+S109+U109+V109+W109+X109+Z109+AA109+Y109</f>
        <v>6981980.5</v>
      </c>
      <c r="F109" s="160">
        <v>0</v>
      </c>
      <c r="G109" s="160">
        <v>0</v>
      </c>
      <c r="H109" s="160">
        <v>0</v>
      </c>
      <c r="I109" s="160">
        <v>0</v>
      </c>
      <c r="J109" s="160">
        <v>0</v>
      </c>
      <c r="K109" s="160">
        <v>0</v>
      </c>
      <c r="L109" s="159">
        <v>0</v>
      </c>
      <c r="M109" s="160">
        <v>0</v>
      </c>
      <c r="N109" s="160">
        <v>550</v>
      </c>
      <c r="O109" s="160">
        <v>6731899.0199999996</v>
      </c>
      <c r="P109" s="160">
        <v>0</v>
      </c>
      <c r="Q109" s="160">
        <v>0</v>
      </c>
      <c r="R109" s="160">
        <v>0</v>
      </c>
      <c r="S109" s="160">
        <v>0</v>
      </c>
      <c r="T109" s="160">
        <v>0</v>
      </c>
      <c r="U109" s="160">
        <v>0</v>
      </c>
      <c r="V109" s="160">
        <v>0</v>
      </c>
      <c r="W109" s="160">
        <v>0</v>
      </c>
      <c r="X109" s="160">
        <v>0</v>
      </c>
      <c r="Y109" s="160">
        <v>149102.99</v>
      </c>
      <c r="Z109" s="160">
        <f>ROUND(O109*1.5%,2)</f>
        <v>100978.49</v>
      </c>
      <c r="AA109" s="160">
        <v>0</v>
      </c>
      <c r="AB109" s="150">
        <v>2026</v>
      </c>
      <c r="AC109" s="150">
        <v>2026</v>
      </c>
      <c r="AD109" s="150">
        <v>2026</v>
      </c>
    </row>
    <row r="110" spans="1:30" x14ac:dyDescent="0.3">
      <c r="A110" s="121">
        <v>1</v>
      </c>
      <c r="B110" s="148">
        <f>SUBTOTAL(9,$A$19:A110)</f>
        <v>86</v>
      </c>
      <c r="C110" s="154" t="s">
        <v>785</v>
      </c>
      <c r="D110" s="150"/>
      <c r="E110" s="144">
        <f>F110+G110+H110+I110+J110+K110+M110+O110+Q110+S110+U110+V110+W110+X110+Z110+AA110+Y110</f>
        <v>200000</v>
      </c>
      <c r="F110" s="160">
        <v>0</v>
      </c>
      <c r="G110" s="160">
        <v>0</v>
      </c>
      <c r="H110" s="160">
        <v>0</v>
      </c>
      <c r="I110" s="160">
        <v>0</v>
      </c>
      <c r="J110" s="160">
        <v>0</v>
      </c>
      <c r="K110" s="160">
        <v>0</v>
      </c>
      <c r="L110" s="159">
        <v>0</v>
      </c>
      <c r="M110" s="160">
        <v>0</v>
      </c>
      <c r="N110" s="160">
        <v>0</v>
      </c>
      <c r="O110" s="160">
        <v>0</v>
      </c>
      <c r="P110" s="160">
        <v>0</v>
      </c>
      <c r="Q110" s="160">
        <v>0</v>
      </c>
      <c r="R110" s="160">
        <v>0</v>
      </c>
      <c r="S110" s="160">
        <v>0</v>
      </c>
      <c r="T110" s="160">
        <v>0</v>
      </c>
      <c r="U110" s="160">
        <v>0</v>
      </c>
      <c r="V110" s="160">
        <v>0</v>
      </c>
      <c r="W110" s="160">
        <v>0</v>
      </c>
      <c r="X110" s="160">
        <v>0</v>
      </c>
      <c r="Y110" s="160">
        <v>200000</v>
      </c>
      <c r="Z110" s="160">
        <v>0</v>
      </c>
      <c r="AA110" s="160">
        <v>0</v>
      </c>
      <c r="AB110" s="150">
        <v>2026</v>
      </c>
      <c r="AC110" s="150" t="s">
        <v>425</v>
      </c>
      <c r="AD110" s="150" t="s">
        <v>425</v>
      </c>
    </row>
    <row r="111" spans="1:30" s="165" customFormat="1" x14ac:dyDescent="0.3">
      <c r="A111" s="121"/>
      <c r="B111" s="147" t="s">
        <v>503</v>
      </c>
      <c r="C111" s="147"/>
      <c r="D111" s="150"/>
      <c r="E111" s="153">
        <f t="shared" ref="E111:AA111" si="19">E112</f>
        <v>12313494.880000001</v>
      </c>
      <c r="F111" s="153">
        <f t="shared" si="19"/>
        <v>0</v>
      </c>
      <c r="G111" s="153">
        <f t="shared" si="19"/>
        <v>0</v>
      </c>
      <c r="H111" s="153">
        <f t="shared" si="19"/>
        <v>0</v>
      </c>
      <c r="I111" s="153">
        <f t="shared" si="19"/>
        <v>0</v>
      </c>
      <c r="J111" s="153">
        <f t="shared" si="19"/>
        <v>0</v>
      </c>
      <c r="K111" s="153">
        <f t="shared" si="19"/>
        <v>0</v>
      </c>
      <c r="L111" s="173">
        <f t="shared" si="19"/>
        <v>0</v>
      </c>
      <c r="M111" s="153">
        <f t="shared" si="19"/>
        <v>0</v>
      </c>
      <c r="N111" s="153">
        <f t="shared" si="19"/>
        <v>1060</v>
      </c>
      <c r="O111" s="153">
        <f t="shared" si="19"/>
        <v>12131522.050000001</v>
      </c>
      <c r="P111" s="153">
        <f t="shared" si="19"/>
        <v>0</v>
      </c>
      <c r="Q111" s="153">
        <f t="shared" si="19"/>
        <v>0</v>
      </c>
      <c r="R111" s="153">
        <f t="shared" si="19"/>
        <v>0</v>
      </c>
      <c r="S111" s="153">
        <f t="shared" si="19"/>
        <v>0</v>
      </c>
      <c r="T111" s="153">
        <f t="shared" si="19"/>
        <v>0</v>
      </c>
      <c r="U111" s="153">
        <f t="shared" si="19"/>
        <v>0</v>
      </c>
      <c r="V111" s="153">
        <f t="shared" si="19"/>
        <v>0</v>
      </c>
      <c r="W111" s="153">
        <f t="shared" si="19"/>
        <v>0</v>
      </c>
      <c r="X111" s="153">
        <f t="shared" si="19"/>
        <v>0</v>
      </c>
      <c r="Y111" s="153">
        <f t="shared" si="19"/>
        <v>0</v>
      </c>
      <c r="Z111" s="153">
        <f t="shared" si="19"/>
        <v>181972.83</v>
      </c>
      <c r="AA111" s="153">
        <f t="shared" si="19"/>
        <v>0</v>
      </c>
      <c r="AB111" s="146" t="s">
        <v>422</v>
      </c>
      <c r="AC111" s="146" t="s">
        <v>422</v>
      </c>
      <c r="AD111" s="146" t="s">
        <v>422</v>
      </c>
    </row>
    <row r="112" spans="1:30" s="165" customFormat="1" x14ac:dyDescent="0.3">
      <c r="A112" s="121">
        <v>1</v>
      </c>
      <c r="B112" s="148">
        <f>SUBTOTAL(9,$A$19:A112)</f>
        <v>87</v>
      </c>
      <c r="C112" s="154" t="s">
        <v>629</v>
      </c>
      <c r="D112" s="150" t="s">
        <v>610</v>
      </c>
      <c r="E112" s="144">
        <f>F112+G112+H112+I112+J112+K112+M112+O112+Q112+S112+U112+V112+W112+X112+Z112+AA112+Y112</f>
        <v>12313494.880000001</v>
      </c>
      <c r="F112" s="160">
        <v>0</v>
      </c>
      <c r="G112" s="160">
        <v>0</v>
      </c>
      <c r="H112" s="160">
        <v>0</v>
      </c>
      <c r="I112" s="160">
        <v>0</v>
      </c>
      <c r="J112" s="160">
        <v>0</v>
      </c>
      <c r="K112" s="160">
        <v>0</v>
      </c>
      <c r="L112" s="162">
        <v>0</v>
      </c>
      <c r="M112" s="160">
        <v>0</v>
      </c>
      <c r="N112" s="160">
        <v>1060</v>
      </c>
      <c r="O112" s="160">
        <f>12328566.38-197044.33</f>
        <v>12131522.050000001</v>
      </c>
      <c r="P112" s="160">
        <v>0</v>
      </c>
      <c r="Q112" s="160">
        <v>0</v>
      </c>
      <c r="R112" s="160">
        <v>0</v>
      </c>
      <c r="S112" s="160">
        <v>0</v>
      </c>
      <c r="T112" s="160">
        <v>0</v>
      </c>
      <c r="U112" s="160">
        <v>0</v>
      </c>
      <c r="V112" s="160">
        <v>0</v>
      </c>
      <c r="W112" s="160">
        <v>0</v>
      </c>
      <c r="X112" s="160">
        <v>0</v>
      </c>
      <c r="Y112" s="160">
        <v>0</v>
      </c>
      <c r="Z112" s="160">
        <f>ROUND(O112*1.5%,2)</f>
        <v>181972.83</v>
      </c>
      <c r="AA112" s="160">
        <v>0</v>
      </c>
      <c r="AB112" s="150" t="s">
        <v>425</v>
      </c>
      <c r="AC112" s="150">
        <v>2026</v>
      </c>
      <c r="AD112" s="150">
        <v>2026</v>
      </c>
    </row>
    <row r="113" spans="1:31" x14ac:dyDescent="0.3">
      <c r="B113" s="147" t="s">
        <v>504</v>
      </c>
      <c r="C113" s="147"/>
      <c r="D113" s="150"/>
      <c r="E113" s="153">
        <f t="shared" ref="E113:AA113" si="20">E114</f>
        <v>7934068.75</v>
      </c>
      <c r="F113" s="153">
        <f t="shared" si="20"/>
        <v>0</v>
      </c>
      <c r="G113" s="153">
        <f t="shared" si="20"/>
        <v>0</v>
      </c>
      <c r="H113" s="153">
        <f t="shared" si="20"/>
        <v>0</v>
      </c>
      <c r="I113" s="153">
        <f t="shared" si="20"/>
        <v>0</v>
      </c>
      <c r="J113" s="153">
        <f t="shared" si="20"/>
        <v>0</v>
      </c>
      <c r="K113" s="153">
        <f t="shared" si="20"/>
        <v>0</v>
      </c>
      <c r="L113" s="173">
        <f t="shared" si="20"/>
        <v>0</v>
      </c>
      <c r="M113" s="153">
        <f t="shared" si="20"/>
        <v>0</v>
      </c>
      <c r="N113" s="153">
        <f t="shared" si="20"/>
        <v>625</v>
      </c>
      <c r="O113" s="153">
        <f t="shared" si="20"/>
        <v>7619772.1699999999</v>
      </c>
      <c r="P113" s="153">
        <f t="shared" si="20"/>
        <v>0</v>
      </c>
      <c r="Q113" s="153">
        <f t="shared" si="20"/>
        <v>0</v>
      </c>
      <c r="R113" s="153">
        <f t="shared" si="20"/>
        <v>0</v>
      </c>
      <c r="S113" s="153">
        <f t="shared" si="20"/>
        <v>0</v>
      </c>
      <c r="T113" s="153">
        <f t="shared" si="20"/>
        <v>0</v>
      </c>
      <c r="U113" s="153">
        <f t="shared" si="20"/>
        <v>0</v>
      </c>
      <c r="V113" s="153">
        <f t="shared" si="20"/>
        <v>0</v>
      </c>
      <c r="W113" s="153">
        <f t="shared" si="20"/>
        <v>0</v>
      </c>
      <c r="X113" s="153">
        <f t="shared" si="20"/>
        <v>0</v>
      </c>
      <c r="Y113" s="153">
        <f t="shared" si="20"/>
        <v>200000</v>
      </c>
      <c r="Z113" s="153">
        <f t="shared" si="20"/>
        <v>114296.58</v>
      </c>
      <c r="AA113" s="153">
        <f t="shared" si="20"/>
        <v>0</v>
      </c>
      <c r="AB113" s="146" t="s">
        <v>422</v>
      </c>
      <c r="AC113" s="146" t="s">
        <v>422</v>
      </c>
      <c r="AD113" s="146" t="s">
        <v>422</v>
      </c>
    </row>
    <row r="114" spans="1:31" x14ac:dyDescent="0.3">
      <c r="A114" s="121">
        <v>1</v>
      </c>
      <c r="B114" s="148">
        <f>SUBTOTAL(9,$A$19:A114)</f>
        <v>88</v>
      </c>
      <c r="C114" s="154" t="s">
        <v>370</v>
      </c>
      <c r="D114" s="150" t="s">
        <v>610</v>
      </c>
      <c r="E114" s="144">
        <f>F114+G114+H114+I114+J114+K114+M114+O114+Q114+S114+U114+V114+W114+X114+Z114+AA114+Y114</f>
        <v>7934068.75</v>
      </c>
      <c r="F114" s="160">
        <v>0</v>
      </c>
      <c r="G114" s="160">
        <v>0</v>
      </c>
      <c r="H114" s="160">
        <v>0</v>
      </c>
      <c r="I114" s="160">
        <v>0</v>
      </c>
      <c r="J114" s="160">
        <v>0</v>
      </c>
      <c r="K114" s="160">
        <v>0</v>
      </c>
      <c r="L114" s="162">
        <v>0</v>
      </c>
      <c r="M114" s="160">
        <v>0</v>
      </c>
      <c r="N114" s="160">
        <v>625</v>
      </c>
      <c r="O114" s="160">
        <v>7619772.1699999999</v>
      </c>
      <c r="P114" s="160">
        <v>0</v>
      </c>
      <c r="Q114" s="160">
        <v>0</v>
      </c>
      <c r="R114" s="160">
        <v>0</v>
      </c>
      <c r="S114" s="160">
        <v>0</v>
      </c>
      <c r="T114" s="160">
        <v>0</v>
      </c>
      <c r="U114" s="160">
        <v>0</v>
      </c>
      <c r="V114" s="160">
        <v>0</v>
      </c>
      <c r="W114" s="160">
        <v>0</v>
      </c>
      <c r="X114" s="160">
        <v>0</v>
      </c>
      <c r="Y114" s="160">
        <v>200000</v>
      </c>
      <c r="Z114" s="160">
        <f>ROUND(O114*1.5%,2)</f>
        <v>114296.58</v>
      </c>
      <c r="AA114" s="160">
        <v>0</v>
      </c>
      <c r="AB114" s="150">
        <v>2026</v>
      </c>
      <c r="AC114" s="150">
        <v>2026</v>
      </c>
      <c r="AD114" s="150">
        <v>2026</v>
      </c>
    </row>
    <row r="115" spans="1:31" x14ac:dyDescent="0.3">
      <c r="B115" s="147" t="s">
        <v>505</v>
      </c>
      <c r="C115" s="147"/>
      <c r="D115" s="150"/>
      <c r="E115" s="153">
        <f t="shared" ref="E115:AA115" si="21">E116</f>
        <v>4570023.5999999996</v>
      </c>
      <c r="F115" s="153">
        <f t="shared" si="21"/>
        <v>0</v>
      </c>
      <c r="G115" s="153">
        <f t="shared" si="21"/>
        <v>0</v>
      </c>
      <c r="H115" s="153">
        <f t="shared" si="21"/>
        <v>0</v>
      </c>
      <c r="I115" s="153">
        <f t="shared" si="21"/>
        <v>0</v>
      </c>
      <c r="J115" s="153">
        <f t="shared" si="21"/>
        <v>0</v>
      </c>
      <c r="K115" s="153">
        <f t="shared" si="21"/>
        <v>0</v>
      </c>
      <c r="L115" s="173">
        <f t="shared" si="21"/>
        <v>0</v>
      </c>
      <c r="M115" s="153">
        <f t="shared" si="21"/>
        <v>0</v>
      </c>
      <c r="N115" s="153">
        <f t="shared" si="21"/>
        <v>360</v>
      </c>
      <c r="O115" s="153">
        <f t="shared" si="21"/>
        <v>4305441.97</v>
      </c>
      <c r="P115" s="153">
        <f t="shared" si="21"/>
        <v>0</v>
      </c>
      <c r="Q115" s="153">
        <f t="shared" si="21"/>
        <v>0</v>
      </c>
      <c r="R115" s="153">
        <f t="shared" si="21"/>
        <v>0</v>
      </c>
      <c r="S115" s="153">
        <f t="shared" si="21"/>
        <v>0</v>
      </c>
      <c r="T115" s="153">
        <f t="shared" si="21"/>
        <v>0</v>
      </c>
      <c r="U115" s="153">
        <f t="shared" si="21"/>
        <v>0</v>
      </c>
      <c r="V115" s="153">
        <f t="shared" si="21"/>
        <v>0</v>
      </c>
      <c r="W115" s="153">
        <f t="shared" si="21"/>
        <v>0</v>
      </c>
      <c r="X115" s="153">
        <f t="shared" si="21"/>
        <v>0</v>
      </c>
      <c r="Y115" s="153">
        <f t="shared" si="21"/>
        <v>200000</v>
      </c>
      <c r="Z115" s="153">
        <f t="shared" si="21"/>
        <v>64581.63</v>
      </c>
      <c r="AA115" s="153">
        <f t="shared" si="21"/>
        <v>0</v>
      </c>
      <c r="AB115" s="146" t="s">
        <v>422</v>
      </c>
      <c r="AC115" s="146" t="s">
        <v>422</v>
      </c>
      <c r="AD115" s="146" t="s">
        <v>422</v>
      </c>
    </row>
    <row r="116" spans="1:31" x14ac:dyDescent="0.3">
      <c r="A116" s="121">
        <v>1</v>
      </c>
      <c r="B116" s="148">
        <f>SUBTOTAL(9,$A$19:A116)</f>
        <v>89</v>
      </c>
      <c r="C116" s="154" t="s">
        <v>375</v>
      </c>
      <c r="D116" s="150" t="s">
        <v>610</v>
      </c>
      <c r="E116" s="144">
        <f>F116+G116+H116+I116+J116+K116+M116+O116+Q116+S116+U116+V116+W116+X116+Z116+AA116+Y116</f>
        <v>4570023.5999999996</v>
      </c>
      <c r="F116" s="160">
        <v>0</v>
      </c>
      <c r="G116" s="160">
        <v>0</v>
      </c>
      <c r="H116" s="160">
        <v>0</v>
      </c>
      <c r="I116" s="160">
        <v>0</v>
      </c>
      <c r="J116" s="160">
        <v>0</v>
      </c>
      <c r="K116" s="160">
        <v>0</v>
      </c>
      <c r="L116" s="162">
        <v>0</v>
      </c>
      <c r="M116" s="160">
        <v>0</v>
      </c>
      <c r="N116" s="160">
        <v>360</v>
      </c>
      <c r="O116" s="160">
        <v>4305441.97</v>
      </c>
      <c r="P116" s="160">
        <v>0</v>
      </c>
      <c r="Q116" s="160">
        <v>0</v>
      </c>
      <c r="R116" s="160">
        <v>0</v>
      </c>
      <c r="S116" s="160">
        <v>0</v>
      </c>
      <c r="T116" s="160">
        <v>0</v>
      </c>
      <c r="U116" s="160">
        <v>0</v>
      </c>
      <c r="V116" s="160">
        <v>0</v>
      </c>
      <c r="W116" s="160">
        <v>0</v>
      </c>
      <c r="X116" s="160">
        <v>0</v>
      </c>
      <c r="Y116" s="160">
        <v>200000</v>
      </c>
      <c r="Z116" s="160">
        <f>ROUND(O116*1.5%,2)</f>
        <v>64581.63</v>
      </c>
      <c r="AA116" s="160">
        <v>0</v>
      </c>
      <c r="AB116" s="150">
        <v>2026</v>
      </c>
      <c r="AC116" s="150">
        <v>2026</v>
      </c>
      <c r="AD116" s="150">
        <v>2026</v>
      </c>
    </row>
    <row r="117" spans="1:31" x14ac:dyDescent="0.3">
      <c r="B117" s="147" t="s">
        <v>508</v>
      </c>
      <c r="C117" s="147"/>
      <c r="D117" s="150"/>
      <c r="E117" s="153">
        <f t="shared" ref="E117:AA117" si="22">E118+E119</f>
        <v>12256188.469999999</v>
      </c>
      <c r="F117" s="153">
        <f t="shared" si="22"/>
        <v>0</v>
      </c>
      <c r="G117" s="153">
        <f t="shared" si="22"/>
        <v>0</v>
      </c>
      <c r="H117" s="153">
        <f t="shared" si="22"/>
        <v>0</v>
      </c>
      <c r="I117" s="153">
        <f t="shared" si="22"/>
        <v>0</v>
      </c>
      <c r="J117" s="153">
        <f t="shared" si="22"/>
        <v>0</v>
      </c>
      <c r="K117" s="153">
        <f t="shared" si="22"/>
        <v>0</v>
      </c>
      <c r="L117" s="173">
        <f t="shared" si="22"/>
        <v>0</v>
      </c>
      <c r="M117" s="153">
        <f t="shared" si="22"/>
        <v>0</v>
      </c>
      <c r="N117" s="153">
        <f t="shared" si="22"/>
        <v>0</v>
      </c>
      <c r="O117" s="153">
        <f t="shared" si="22"/>
        <v>0</v>
      </c>
      <c r="P117" s="153">
        <f t="shared" si="22"/>
        <v>0</v>
      </c>
      <c r="Q117" s="153">
        <f t="shared" si="22"/>
        <v>0</v>
      </c>
      <c r="R117" s="153">
        <f t="shared" si="22"/>
        <v>1266.33</v>
      </c>
      <c r="S117" s="153">
        <f t="shared" si="22"/>
        <v>9345637.0700000003</v>
      </c>
      <c r="T117" s="153">
        <f t="shared" si="22"/>
        <v>71</v>
      </c>
      <c r="U117" s="153">
        <f t="shared" si="22"/>
        <v>2729425.46</v>
      </c>
      <c r="V117" s="153">
        <f t="shared" si="22"/>
        <v>0</v>
      </c>
      <c r="W117" s="153">
        <f t="shared" si="22"/>
        <v>0</v>
      </c>
      <c r="X117" s="153">
        <f t="shared" si="22"/>
        <v>0</v>
      </c>
      <c r="Y117" s="153">
        <f t="shared" si="22"/>
        <v>0</v>
      </c>
      <c r="Z117" s="153">
        <f t="shared" si="22"/>
        <v>181125.94</v>
      </c>
      <c r="AA117" s="153">
        <f t="shared" si="22"/>
        <v>0</v>
      </c>
      <c r="AB117" s="146" t="s">
        <v>422</v>
      </c>
      <c r="AC117" s="146" t="s">
        <v>422</v>
      </c>
      <c r="AD117" s="146" t="s">
        <v>422</v>
      </c>
    </row>
    <row r="118" spans="1:31" s="165" customFormat="1" x14ac:dyDescent="0.3">
      <c r="A118" s="121">
        <v>1</v>
      </c>
      <c r="B118" s="148">
        <f>SUBTOTAL(9,$A$19:A118)</f>
        <v>90</v>
      </c>
      <c r="C118" s="161" t="s">
        <v>591</v>
      </c>
      <c r="D118" s="150" t="s">
        <v>610</v>
      </c>
      <c r="E118" s="153">
        <f>F118+G118+H118+I118+J118+K118+M118+O118+Q118+S118+U118+V118+W118+X118+Y118+Z118+AA118</f>
        <v>6070660.6799999997</v>
      </c>
      <c r="F118" s="158">
        <v>0</v>
      </c>
      <c r="G118" s="158">
        <v>0</v>
      </c>
      <c r="H118" s="158">
        <v>0</v>
      </c>
      <c r="I118" s="158">
        <v>0</v>
      </c>
      <c r="J118" s="158">
        <v>0</v>
      </c>
      <c r="K118" s="158">
        <v>0</v>
      </c>
      <c r="L118" s="159">
        <v>0</v>
      </c>
      <c r="M118" s="158">
        <v>0</v>
      </c>
      <c r="N118" s="153">
        <v>0</v>
      </c>
      <c r="O118" s="176">
        <v>0</v>
      </c>
      <c r="P118" s="158">
        <v>0</v>
      </c>
      <c r="Q118" s="158">
        <v>0</v>
      </c>
      <c r="R118" s="158">
        <v>787</v>
      </c>
      <c r="S118" s="153">
        <f>5340245.56-2088724.54</f>
        <v>3251521.0199999996</v>
      </c>
      <c r="T118" s="158">
        <v>71</v>
      </c>
      <c r="U118" s="158">
        <v>2729425.46</v>
      </c>
      <c r="V118" s="158">
        <v>0</v>
      </c>
      <c r="W118" s="158">
        <v>0</v>
      </c>
      <c r="X118" s="158">
        <v>0</v>
      </c>
      <c r="Y118" s="158">
        <v>0</v>
      </c>
      <c r="Z118" s="153">
        <f>ROUND(S118*1.5%,2)+ROUND(U118*1.5%,2)</f>
        <v>89714.2</v>
      </c>
      <c r="AA118" s="158">
        <v>0</v>
      </c>
      <c r="AB118" s="132" t="s">
        <v>425</v>
      </c>
      <c r="AC118" s="132">
        <v>2026</v>
      </c>
      <c r="AD118" s="132">
        <v>2026</v>
      </c>
    </row>
    <row r="119" spans="1:31" s="165" customFormat="1" x14ac:dyDescent="0.3">
      <c r="A119" s="121">
        <v>1</v>
      </c>
      <c r="B119" s="148">
        <f>SUBTOTAL(9,$A$19:A119)</f>
        <v>91</v>
      </c>
      <c r="C119" s="161" t="s">
        <v>665</v>
      </c>
      <c r="D119" s="132" t="s">
        <v>610</v>
      </c>
      <c r="E119" s="153">
        <f>F119+G119+H119+I119+J119+K119+M119+O119+Q119+S119+U119+V119+W119+X119+Y119+Z119+AA119</f>
        <v>6185527.79</v>
      </c>
      <c r="F119" s="158">
        <v>0</v>
      </c>
      <c r="G119" s="158">
        <v>0</v>
      </c>
      <c r="H119" s="158">
        <v>0</v>
      </c>
      <c r="I119" s="158">
        <v>0</v>
      </c>
      <c r="J119" s="158">
        <v>0</v>
      </c>
      <c r="K119" s="158">
        <v>0</v>
      </c>
      <c r="L119" s="159">
        <v>0</v>
      </c>
      <c r="M119" s="158">
        <v>0</v>
      </c>
      <c r="N119" s="153">
        <v>0</v>
      </c>
      <c r="O119" s="176">
        <v>0</v>
      </c>
      <c r="P119" s="158">
        <v>0</v>
      </c>
      <c r="Q119" s="158">
        <v>0</v>
      </c>
      <c r="R119" s="158">
        <v>479.33</v>
      </c>
      <c r="S119" s="153">
        <f>2121804.03+3972312.02</f>
        <v>6094116.0499999998</v>
      </c>
      <c r="T119" s="158">
        <v>0</v>
      </c>
      <c r="U119" s="158">
        <v>0</v>
      </c>
      <c r="V119" s="158">
        <v>0</v>
      </c>
      <c r="W119" s="158">
        <v>0</v>
      </c>
      <c r="X119" s="158">
        <v>0</v>
      </c>
      <c r="Y119" s="153">
        <v>0</v>
      </c>
      <c r="Z119" s="153">
        <f>ROUND(S119*1.5%,2)</f>
        <v>91411.74</v>
      </c>
      <c r="AA119" s="158">
        <v>0</v>
      </c>
      <c r="AB119" s="132" t="s">
        <v>425</v>
      </c>
      <c r="AC119" s="132">
        <v>2026</v>
      </c>
      <c r="AD119" s="132">
        <v>2026</v>
      </c>
      <c r="AE119" s="169"/>
    </row>
    <row r="120" spans="1:31" x14ac:dyDescent="0.3">
      <c r="B120" s="147" t="s">
        <v>690</v>
      </c>
      <c r="C120" s="147"/>
      <c r="D120" s="172"/>
      <c r="E120" s="153">
        <f>SUM(E121:E126)</f>
        <v>32167975.77</v>
      </c>
      <c r="F120" s="153">
        <f t="shared" ref="F120:AA120" si="23">SUM(F121:F126)</f>
        <v>121947.9</v>
      </c>
      <c r="G120" s="153">
        <f t="shared" si="23"/>
        <v>0</v>
      </c>
      <c r="H120" s="153">
        <f t="shared" si="23"/>
        <v>0</v>
      </c>
      <c r="I120" s="153">
        <f t="shared" si="23"/>
        <v>480895.36</v>
      </c>
      <c r="J120" s="153">
        <f t="shared" si="23"/>
        <v>856272.68</v>
      </c>
      <c r="K120" s="153">
        <f t="shared" si="23"/>
        <v>0</v>
      </c>
      <c r="L120" s="173">
        <f t="shared" si="23"/>
        <v>0</v>
      </c>
      <c r="M120" s="153">
        <f t="shared" si="23"/>
        <v>0</v>
      </c>
      <c r="N120" s="153">
        <f t="shared" si="23"/>
        <v>2784.18</v>
      </c>
      <c r="O120" s="153">
        <f t="shared" si="23"/>
        <v>29894426.050000001</v>
      </c>
      <c r="P120" s="153">
        <f t="shared" si="23"/>
        <v>0</v>
      </c>
      <c r="Q120" s="153">
        <f t="shared" si="23"/>
        <v>0</v>
      </c>
      <c r="R120" s="153">
        <f t="shared" si="23"/>
        <v>0</v>
      </c>
      <c r="S120" s="153">
        <f t="shared" si="23"/>
        <v>0</v>
      </c>
      <c r="T120" s="153">
        <f t="shared" si="23"/>
        <v>0</v>
      </c>
      <c r="U120" s="153">
        <f t="shared" si="23"/>
        <v>0</v>
      </c>
      <c r="V120" s="153">
        <f t="shared" si="23"/>
        <v>0</v>
      </c>
      <c r="W120" s="153">
        <f t="shared" si="23"/>
        <v>0</v>
      </c>
      <c r="X120" s="153">
        <f t="shared" si="23"/>
        <v>0</v>
      </c>
      <c r="Y120" s="153">
        <f t="shared" si="23"/>
        <v>344130.65</v>
      </c>
      <c r="Z120" s="153">
        <f t="shared" si="23"/>
        <v>470303.12999999995</v>
      </c>
      <c r="AA120" s="153">
        <f t="shared" si="23"/>
        <v>0</v>
      </c>
      <c r="AB120" s="146" t="s">
        <v>422</v>
      </c>
      <c r="AC120" s="146" t="s">
        <v>422</v>
      </c>
      <c r="AD120" s="146" t="s">
        <v>422</v>
      </c>
    </row>
    <row r="121" spans="1:31" x14ac:dyDescent="0.3">
      <c r="A121" s="121">
        <v>1</v>
      </c>
      <c r="B121" s="148">
        <f>SUBTOTAL(9,$A$19:A121)</f>
        <v>92</v>
      </c>
      <c r="C121" s="154" t="s">
        <v>582</v>
      </c>
      <c r="D121" s="163" t="s">
        <v>611</v>
      </c>
      <c r="E121" s="144">
        <f t="shared" ref="E121:E126" si="24">F121+G121+H121+I121+J121+K121+M121+O121+Q121+S121+U121+V121+W121+X121+Z121+AA121+Y121</f>
        <v>9163586.9199999999</v>
      </c>
      <c r="F121" s="153">
        <v>0</v>
      </c>
      <c r="G121" s="153">
        <v>0</v>
      </c>
      <c r="H121" s="153">
        <v>0</v>
      </c>
      <c r="I121" s="153">
        <v>0</v>
      </c>
      <c r="J121" s="153">
        <v>0</v>
      </c>
      <c r="K121" s="153">
        <v>0</v>
      </c>
      <c r="L121" s="173">
        <v>0</v>
      </c>
      <c r="M121" s="153">
        <v>0</v>
      </c>
      <c r="N121" s="153">
        <v>758.5</v>
      </c>
      <c r="O121" s="153">
        <v>9028164.4499999993</v>
      </c>
      <c r="P121" s="160">
        <v>0</v>
      </c>
      <c r="Q121" s="160">
        <v>0</v>
      </c>
      <c r="R121" s="160">
        <v>0</v>
      </c>
      <c r="S121" s="160">
        <v>0</v>
      </c>
      <c r="T121" s="160">
        <v>0</v>
      </c>
      <c r="U121" s="160">
        <v>0</v>
      </c>
      <c r="V121" s="160">
        <v>0</v>
      </c>
      <c r="W121" s="160">
        <v>0</v>
      </c>
      <c r="X121" s="160">
        <v>0</v>
      </c>
      <c r="Y121" s="160">
        <v>0</v>
      </c>
      <c r="Z121" s="160">
        <f>ROUND(O121*1.5%,2)</f>
        <v>135422.47</v>
      </c>
      <c r="AA121" s="160">
        <v>0</v>
      </c>
      <c r="AB121" s="146" t="s">
        <v>425</v>
      </c>
      <c r="AC121" s="150">
        <v>2026</v>
      </c>
      <c r="AD121" s="150">
        <v>2026</v>
      </c>
    </row>
    <row r="122" spans="1:31" x14ac:dyDescent="0.3">
      <c r="A122" s="121">
        <v>1</v>
      </c>
      <c r="B122" s="148">
        <f>SUBTOTAL(9,$A$19:A122)</f>
        <v>93</v>
      </c>
      <c r="C122" s="154" t="s">
        <v>169</v>
      </c>
      <c r="D122" s="163" t="s">
        <v>611</v>
      </c>
      <c r="E122" s="144">
        <f t="shared" si="24"/>
        <v>5166895.43</v>
      </c>
      <c r="F122" s="153">
        <v>0</v>
      </c>
      <c r="G122" s="153">
        <v>0</v>
      </c>
      <c r="H122" s="153">
        <v>0</v>
      </c>
      <c r="I122" s="153">
        <v>0</v>
      </c>
      <c r="J122" s="153">
        <v>0</v>
      </c>
      <c r="K122" s="153">
        <v>0</v>
      </c>
      <c r="L122" s="173">
        <v>0</v>
      </c>
      <c r="M122" s="153">
        <v>0</v>
      </c>
      <c r="N122" s="153">
        <v>493.43</v>
      </c>
      <c r="O122" s="153">
        <v>5090537.37</v>
      </c>
      <c r="P122" s="160">
        <v>0</v>
      </c>
      <c r="Q122" s="160">
        <v>0</v>
      </c>
      <c r="R122" s="160">
        <v>0</v>
      </c>
      <c r="S122" s="160">
        <v>0</v>
      </c>
      <c r="T122" s="160">
        <v>0</v>
      </c>
      <c r="U122" s="160">
        <v>0</v>
      </c>
      <c r="V122" s="160">
        <v>0</v>
      </c>
      <c r="W122" s="160">
        <v>0</v>
      </c>
      <c r="X122" s="160">
        <v>0</v>
      </c>
      <c r="Y122" s="160">
        <v>0</v>
      </c>
      <c r="Z122" s="160">
        <f>ROUND(O122*1.5%,2)</f>
        <v>76358.06</v>
      </c>
      <c r="AA122" s="160">
        <v>0</v>
      </c>
      <c r="AB122" s="146" t="s">
        <v>425</v>
      </c>
      <c r="AC122" s="150">
        <v>2026</v>
      </c>
      <c r="AD122" s="150">
        <v>2026</v>
      </c>
    </row>
    <row r="123" spans="1:31" x14ac:dyDescent="0.3">
      <c r="A123" s="121">
        <v>1</v>
      </c>
      <c r="B123" s="148">
        <f>SUBTOTAL(9,$A$19:A123)</f>
        <v>94</v>
      </c>
      <c r="C123" s="154" t="s">
        <v>581</v>
      </c>
      <c r="D123" s="163" t="s">
        <v>611</v>
      </c>
      <c r="E123" s="144">
        <f t="shared" si="24"/>
        <v>5490144.4199999999</v>
      </c>
      <c r="F123" s="153">
        <v>0</v>
      </c>
      <c r="G123" s="153">
        <v>0</v>
      </c>
      <c r="H123" s="153">
        <v>0</v>
      </c>
      <c r="I123" s="153">
        <v>0</v>
      </c>
      <c r="J123" s="153">
        <v>0</v>
      </c>
      <c r="K123" s="153">
        <v>0</v>
      </c>
      <c r="L123" s="173">
        <v>0</v>
      </c>
      <c r="M123" s="153">
        <v>0</v>
      </c>
      <c r="N123" s="153">
        <v>484.2</v>
      </c>
      <c r="O123" s="153">
        <v>5251497.54</v>
      </c>
      <c r="P123" s="160">
        <v>0</v>
      </c>
      <c r="Q123" s="160">
        <v>0</v>
      </c>
      <c r="R123" s="160">
        <v>0</v>
      </c>
      <c r="S123" s="160">
        <v>0</v>
      </c>
      <c r="T123" s="160">
        <v>0</v>
      </c>
      <c r="U123" s="160">
        <v>0</v>
      </c>
      <c r="V123" s="160">
        <v>0</v>
      </c>
      <c r="W123" s="160">
        <v>0</v>
      </c>
      <c r="X123" s="160">
        <v>0</v>
      </c>
      <c r="Y123" s="160">
        <v>159874.42000000001</v>
      </c>
      <c r="Z123" s="160">
        <f>ROUND(O123*1.5%,2)</f>
        <v>78772.460000000006</v>
      </c>
      <c r="AA123" s="160">
        <v>0</v>
      </c>
      <c r="AB123" s="150">
        <v>2026</v>
      </c>
      <c r="AC123" s="150">
        <v>2026</v>
      </c>
      <c r="AD123" s="150">
        <v>2026</v>
      </c>
    </row>
    <row r="124" spans="1:31" x14ac:dyDescent="0.3">
      <c r="A124" s="121">
        <v>1</v>
      </c>
      <c r="B124" s="148">
        <f>SUBTOTAL(9,$A$19:A124)</f>
        <v>95</v>
      </c>
      <c r="C124" s="154" t="s">
        <v>170</v>
      </c>
      <c r="D124" s="163" t="s">
        <v>611</v>
      </c>
      <c r="E124" s="144">
        <f t="shared" si="24"/>
        <v>1481002.68</v>
      </c>
      <c r="F124" s="153">
        <v>121947.9</v>
      </c>
      <c r="G124" s="153">
        <v>0</v>
      </c>
      <c r="H124" s="153">
        <v>0</v>
      </c>
      <c r="I124" s="153">
        <v>480895.36</v>
      </c>
      <c r="J124" s="153">
        <v>856272.68</v>
      </c>
      <c r="K124" s="153">
        <v>0</v>
      </c>
      <c r="L124" s="173">
        <v>0</v>
      </c>
      <c r="M124" s="153">
        <v>0</v>
      </c>
      <c r="N124" s="153">
        <v>0</v>
      </c>
      <c r="O124" s="153">
        <v>0</v>
      </c>
      <c r="P124" s="160">
        <v>0</v>
      </c>
      <c r="Q124" s="160">
        <v>0</v>
      </c>
      <c r="R124" s="160">
        <v>0</v>
      </c>
      <c r="S124" s="160">
        <v>0</v>
      </c>
      <c r="T124" s="160">
        <v>0</v>
      </c>
      <c r="U124" s="160">
        <v>0</v>
      </c>
      <c r="V124" s="160">
        <v>0</v>
      </c>
      <c r="W124" s="160">
        <v>0</v>
      </c>
      <c r="X124" s="160">
        <v>0</v>
      </c>
      <c r="Y124" s="160">
        <v>0</v>
      </c>
      <c r="Z124" s="160">
        <f>ROUND(F124*1.5%,2)+ROUND(I124*1.5%,2)+ROUND(J124*1.5%,2)</f>
        <v>21886.739999999998</v>
      </c>
      <c r="AA124" s="160">
        <v>0</v>
      </c>
      <c r="AB124" s="146" t="s">
        <v>425</v>
      </c>
      <c r="AC124" s="150">
        <v>2026</v>
      </c>
      <c r="AD124" s="150">
        <v>2026</v>
      </c>
    </row>
    <row r="125" spans="1:31" x14ac:dyDescent="0.3">
      <c r="A125" s="121">
        <v>1</v>
      </c>
      <c r="B125" s="148">
        <f>SUBTOTAL(9,$A$19:A125)</f>
        <v>96</v>
      </c>
      <c r="C125" s="154" t="s">
        <v>607</v>
      </c>
      <c r="D125" s="163" t="s">
        <v>611</v>
      </c>
      <c r="E125" s="144">
        <f t="shared" si="24"/>
        <v>2513172</v>
      </c>
      <c r="F125" s="153">
        <v>0</v>
      </c>
      <c r="G125" s="153">
        <v>0</v>
      </c>
      <c r="H125" s="153">
        <v>0</v>
      </c>
      <c r="I125" s="153">
        <v>0</v>
      </c>
      <c r="J125" s="153">
        <v>0</v>
      </c>
      <c r="K125" s="153">
        <v>0</v>
      </c>
      <c r="L125" s="173">
        <v>0</v>
      </c>
      <c r="M125" s="153">
        <v>0</v>
      </c>
      <c r="N125" s="153">
        <v>383.41</v>
      </c>
      <c r="O125" s="153">
        <v>2476031.5299999998</v>
      </c>
      <c r="P125" s="160">
        <v>0</v>
      </c>
      <c r="Q125" s="160">
        <v>0</v>
      </c>
      <c r="R125" s="160">
        <v>0</v>
      </c>
      <c r="S125" s="160">
        <v>0</v>
      </c>
      <c r="T125" s="160">
        <v>0</v>
      </c>
      <c r="U125" s="160">
        <v>0</v>
      </c>
      <c r="V125" s="160">
        <v>0</v>
      </c>
      <c r="W125" s="160">
        <v>0</v>
      </c>
      <c r="X125" s="160">
        <v>0</v>
      </c>
      <c r="Y125" s="160">
        <v>0</v>
      </c>
      <c r="Z125" s="160">
        <f>ROUND(O125*1.5%,2)</f>
        <v>37140.47</v>
      </c>
      <c r="AA125" s="160">
        <v>0</v>
      </c>
      <c r="AB125" s="146" t="s">
        <v>425</v>
      </c>
      <c r="AC125" s="150">
        <v>2026</v>
      </c>
      <c r="AD125" s="150">
        <v>2026</v>
      </c>
    </row>
    <row r="126" spans="1:31" x14ac:dyDescent="0.3">
      <c r="A126" s="121">
        <v>1</v>
      </c>
      <c r="B126" s="148">
        <f>SUBTOTAL(9,$A$19:A126)</f>
        <v>97</v>
      </c>
      <c r="C126" s="154" t="s">
        <v>580</v>
      </c>
      <c r="D126" s="163" t="s">
        <v>611</v>
      </c>
      <c r="E126" s="144">
        <f t="shared" si="24"/>
        <v>8353174.3200000003</v>
      </c>
      <c r="F126" s="153">
        <v>0</v>
      </c>
      <c r="G126" s="153">
        <v>0</v>
      </c>
      <c r="H126" s="153">
        <v>0</v>
      </c>
      <c r="I126" s="153">
        <v>0</v>
      </c>
      <c r="J126" s="153">
        <v>0</v>
      </c>
      <c r="K126" s="153">
        <v>0</v>
      </c>
      <c r="L126" s="173">
        <v>0</v>
      </c>
      <c r="M126" s="153">
        <v>0</v>
      </c>
      <c r="N126" s="153">
        <v>664.64</v>
      </c>
      <c r="O126" s="153">
        <v>8048195.1600000001</v>
      </c>
      <c r="P126" s="160">
        <v>0</v>
      </c>
      <c r="Q126" s="160">
        <v>0</v>
      </c>
      <c r="R126" s="160">
        <v>0</v>
      </c>
      <c r="S126" s="160">
        <v>0</v>
      </c>
      <c r="T126" s="160">
        <v>0</v>
      </c>
      <c r="U126" s="160">
        <v>0</v>
      </c>
      <c r="V126" s="160">
        <v>0</v>
      </c>
      <c r="W126" s="160">
        <v>0</v>
      </c>
      <c r="X126" s="160">
        <v>0</v>
      </c>
      <c r="Y126" s="160">
        <v>184256.23</v>
      </c>
      <c r="Z126" s="160">
        <f>ROUND(O126*1.5%,2)</f>
        <v>120722.93</v>
      </c>
      <c r="AA126" s="160">
        <v>0</v>
      </c>
      <c r="AB126" s="150">
        <v>2026</v>
      </c>
      <c r="AC126" s="150">
        <v>2026</v>
      </c>
      <c r="AD126" s="150">
        <v>2026</v>
      </c>
    </row>
    <row r="127" spans="1:31" x14ac:dyDescent="0.3">
      <c r="B127" s="141" t="s">
        <v>689</v>
      </c>
      <c r="C127" s="142"/>
      <c r="D127" s="143"/>
      <c r="E127" s="144">
        <f>E128+E129+E130</f>
        <v>14952717.49</v>
      </c>
      <c r="F127" s="144">
        <f t="shared" ref="F127:AA127" si="25">F128+F129+F130</f>
        <v>0</v>
      </c>
      <c r="G127" s="144">
        <f t="shared" si="25"/>
        <v>0</v>
      </c>
      <c r="H127" s="144">
        <f t="shared" si="25"/>
        <v>0</v>
      </c>
      <c r="I127" s="144">
        <f t="shared" si="25"/>
        <v>0</v>
      </c>
      <c r="J127" s="144">
        <f t="shared" si="25"/>
        <v>0</v>
      </c>
      <c r="K127" s="144">
        <f t="shared" si="25"/>
        <v>0</v>
      </c>
      <c r="L127" s="145">
        <f t="shared" si="25"/>
        <v>0</v>
      </c>
      <c r="M127" s="144">
        <f t="shared" si="25"/>
        <v>0</v>
      </c>
      <c r="N127" s="144">
        <f t="shared" si="25"/>
        <v>1424.6399999999999</v>
      </c>
      <c r="O127" s="144">
        <f t="shared" si="25"/>
        <v>14358930.779999999</v>
      </c>
      <c r="P127" s="144">
        <f t="shared" si="25"/>
        <v>0</v>
      </c>
      <c r="Q127" s="144">
        <f t="shared" si="25"/>
        <v>0</v>
      </c>
      <c r="R127" s="144">
        <f t="shared" si="25"/>
        <v>0</v>
      </c>
      <c r="S127" s="144">
        <f t="shared" si="25"/>
        <v>0</v>
      </c>
      <c r="T127" s="144">
        <f t="shared" si="25"/>
        <v>0</v>
      </c>
      <c r="U127" s="144">
        <f t="shared" si="25"/>
        <v>0</v>
      </c>
      <c r="V127" s="144">
        <f t="shared" si="25"/>
        <v>0</v>
      </c>
      <c r="W127" s="144">
        <f t="shared" si="25"/>
        <v>0</v>
      </c>
      <c r="X127" s="144">
        <f t="shared" si="25"/>
        <v>0</v>
      </c>
      <c r="Y127" s="144">
        <f t="shared" si="25"/>
        <v>470716.31999999995</v>
      </c>
      <c r="Z127" s="144">
        <f t="shared" si="25"/>
        <v>123070.39</v>
      </c>
      <c r="AA127" s="144">
        <f t="shared" si="25"/>
        <v>0</v>
      </c>
      <c r="AB127" s="146" t="s">
        <v>422</v>
      </c>
      <c r="AC127" s="146" t="s">
        <v>422</v>
      </c>
      <c r="AD127" s="146" t="s">
        <v>422</v>
      </c>
    </row>
    <row r="128" spans="1:31" x14ac:dyDescent="0.3">
      <c r="A128" s="121">
        <v>1</v>
      </c>
      <c r="B128" s="148">
        <f>SUBTOTAL(9,$A$19:A128)</f>
        <v>98</v>
      </c>
      <c r="C128" s="154" t="s">
        <v>175</v>
      </c>
      <c r="D128" s="163" t="s">
        <v>612</v>
      </c>
      <c r="E128" s="144">
        <f>F128+G128+H128+I128+J128+K128+M128+O128+Q128+S128+U128+V128+W128+X128+Z128+AA128+Y128</f>
        <v>4196587.8499999996</v>
      </c>
      <c r="F128" s="160">
        <v>0</v>
      </c>
      <c r="G128" s="160">
        <v>0</v>
      </c>
      <c r="H128" s="160">
        <v>0</v>
      </c>
      <c r="I128" s="160">
        <v>0</v>
      </c>
      <c r="J128" s="160">
        <v>0</v>
      </c>
      <c r="K128" s="160">
        <v>0</v>
      </c>
      <c r="L128" s="162">
        <v>0</v>
      </c>
      <c r="M128" s="160">
        <v>0</v>
      </c>
      <c r="N128" s="153">
        <v>380.9</v>
      </c>
      <c r="O128" s="153">
        <f>3706158.2+300000</f>
        <v>4006158.2</v>
      </c>
      <c r="P128" s="160">
        <v>0</v>
      </c>
      <c r="Q128" s="160">
        <v>0</v>
      </c>
      <c r="R128" s="160">
        <v>0</v>
      </c>
      <c r="S128" s="160">
        <v>0</v>
      </c>
      <c r="T128" s="160">
        <v>0</v>
      </c>
      <c r="U128" s="160">
        <v>0</v>
      </c>
      <c r="V128" s="160">
        <v>0</v>
      </c>
      <c r="W128" s="160">
        <v>0</v>
      </c>
      <c r="X128" s="160">
        <v>0</v>
      </c>
      <c r="Y128" s="160">
        <v>156092.87</v>
      </c>
      <c r="Z128" s="160">
        <f>ROUND(O128*0.8571%,2)</f>
        <v>34336.78</v>
      </c>
      <c r="AA128" s="160">
        <v>0</v>
      </c>
      <c r="AB128" s="150">
        <v>2026</v>
      </c>
      <c r="AC128" s="150">
        <v>2026</v>
      </c>
      <c r="AD128" s="150">
        <v>2026</v>
      </c>
    </row>
    <row r="129" spans="1:30" x14ac:dyDescent="0.3">
      <c r="A129" s="121">
        <v>1</v>
      </c>
      <c r="B129" s="148">
        <f>SUBTOTAL(9,$A$19:A129)</f>
        <v>99</v>
      </c>
      <c r="C129" s="154" t="s">
        <v>176</v>
      </c>
      <c r="D129" s="163" t="s">
        <v>612</v>
      </c>
      <c r="E129" s="144">
        <f>F129+G129+H129+I129+J129+K129+M129+O129+Q129+S129+U129+V129+W129+X129+Z129+AA129+Y129</f>
        <v>7493127.1600000001</v>
      </c>
      <c r="F129" s="160">
        <v>0</v>
      </c>
      <c r="G129" s="160">
        <v>0</v>
      </c>
      <c r="H129" s="160">
        <v>0</v>
      </c>
      <c r="I129" s="160">
        <v>0</v>
      </c>
      <c r="J129" s="160">
        <v>0</v>
      </c>
      <c r="K129" s="160">
        <v>0</v>
      </c>
      <c r="L129" s="162">
        <v>0</v>
      </c>
      <c r="M129" s="160">
        <v>0</v>
      </c>
      <c r="N129" s="153">
        <v>770.8</v>
      </c>
      <c r="O129" s="153">
        <f>6743417.48+500000</f>
        <v>7243417.4800000004</v>
      </c>
      <c r="P129" s="160">
        <v>0</v>
      </c>
      <c r="Q129" s="160">
        <v>0</v>
      </c>
      <c r="R129" s="160">
        <v>0</v>
      </c>
      <c r="S129" s="160">
        <v>0</v>
      </c>
      <c r="T129" s="160">
        <v>0</v>
      </c>
      <c r="U129" s="160">
        <v>0</v>
      </c>
      <c r="V129" s="160">
        <v>0</v>
      </c>
      <c r="W129" s="160">
        <v>0</v>
      </c>
      <c r="X129" s="160">
        <v>0</v>
      </c>
      <c r="Y129" s="160">
        <v>187626.35</v>
      </c>
      <c r="Z129" s="160">
        <f>ROUND(O129*0.8571%,2)</f>
        <v>62083.33</v>
      </c>
      <c r="AA129" s="160">
        <v>0</v>
      </c>
      <c r="AB129" s="150">
        <v>2026</v>
      </c>
      <c r="AC129" s="150">
        <v>2026</v>
      </c>
      <c r="AD129" s="150">
        <v>2026</v>
      </c>
    </row>
    <row r="130" spans="1:30" x14ac:dyDescent="0.3">
      <c r="A130" s="121">
        <v>1</v>
      </c>
      <c r="B130" s="148">
        <f>SUBTOTAL(9,$A$19:A130)</f>
        <v>100</v>
      </c>
      <c r="C130" s="154" t="s">
        <v>179</v>
      </c>
      <c r="D130" s="163" t="s">
        <v>612</v>
      </c>
      <c r="E130" s="144">
        <f>F130+G130+H130+I130+J130+K130+M130+O130+Q130+S130+U130+V130+W130+X130+Z130+AA130+Y130</f>
        <v>3263002.48</v>
      </c>
      <c r="F130" s="160">
        <v>0</v>
      </c>
      <c r="G130" s="160">
        <v>0</v>
      </c>
      <c r="H130" s="160">
        <v>0</v>
      </c>
      <c r="I130" s="160">
        <v>0</v>
      </c>
      <c r="J130" s="160">
        <v>0</v>
      </c>
      <c r="K130" s="160">
        <v>0</v>
      </c>
      <c r="L130" s="162">
        <v>0</v>
      </c>
      <c r="M130" s="160">
        <v>0</v>
      </c>
      <c r="N130" s="153">
        <v>272.94</v>
      </c>
      <c r="O130" s="153">
        <f>2786966.1+322389</f>
        <v>3109355.1</v>
      </c>
      <c r="P130" s="160">
        <v>0</v>
      </c>
      <c r="Q130" s="160">
        <v>0</v>
      </c>
      <c r="R130" s="160">
        <v>0</v>
      </c>
      <c r="S130" s="160">
        <v>0</v>
      </c>
      <c r="T130" s="160">
        <v>0</v>
      </c>
      <c r="U130" s="160">
        <v>0</v>
      </c>
      <c r="V130" s="160">
        <v>0</v>
      </c>
      <c r="W130" s="160">
        <v>0</v>
      </c>
      <c r="X130" s="160">
        <v>0</v>
      </c>
      <c r="Y130" s="160">
        <v>126997.1</v>
      </c>
      <c r="Z130" s="160">
        <f>ROUND(O130*0.8571%,2)</f>
        <v>26650.28</v>
      </c>
      <c r="AA130" s="160">
        <v>0</v>
      </c>
      <c r="AB130" s="150">
        <v>2026</v>
      </c>
      <c r="AC130" s="150">
        <v>2026</v>
      </c>
      <c r="AD130" s="150">
        <v>2026</v>
      </c>
    </row>
    <row r="131" spans="1:30" x14ac:dyDescent="0.3">
      <c r="B131" s="141" t="s">
        <v>686</v>
      </c>
      <c r="C131" s="141"/>
      <c r="D131" s="171"/>
      <c r="E131" s="170">
        <f>E132+E133+E134+E135</f>
        <v>59468472.069999993</v>
      </c>
      <c r="F131" s="170">
        <f t="shared" ref="F131:AA131" si="26">F132+F133+F134+F135</f>
        <v>0</v>
      </c>
      <c r="G131" s="170">
        <f t="shared" si="26"/>
        <v>0</v>
      </c>
      <c r="H131" s="170">
        <f t="shared" si="26"/>
        <v>0</v>
      </c>
      <c r="I131" s="170">
        <f t="shared" si="26"/>
        <v>0</v>
      </c>
      <c r="J131" s="170">
        <f t="shared" si="26"/>
        <v>0</v>
      </c>
      <c r="K131" s="170">
        <f t="shared" si="26"/>
        <v>0</v>
      </c>
      <c r="L131" s="141">
        <f t="shared" si="26"/>
        <v>0</v>
      </c>
      <c r="M131" s="170">
        <f t="shared" si="26"/>
        <v>0</v>
      </c>
      <c r="N131" s="170">
        <f t="shared" si="26"/>
        <v>2546.4899999999998</v>
      </c>
      <c r="O131" s="170">
        <f t="shared" si="26"/>
        <v>32636726.34</v>
      </c>
      <c r="P131" s="170">
        <f t="shared" si="26"/>
        <v>0</v>
      </c>
      <c r="Q131" s="170">
        <f t="shared" si="26"/>
        <v>0</v>
      </c>
      <c r="R131" s="170">
        <f t="shared" si="26"/>
        <v>1266.57</v>
      </c>
      <c r="S131" s="170">
        <f t="shared" si="26"/>
        <v>13937457.370000001</v>
      </c>
      <c r="T131" s="170">
        <f t="shared" si="26"/>
        <v>132.81</v>
      </c>
      <c r="U131" s="170">
        <f t="shared" si="26"/>
        <v>10389828.18</v>
      </c>
      <c r="V131" s="170">
        <f t="shared" si="26"/>
        <v>0</v>
      </c>
      <c r="W131" s="170">
        <f t="shared" si="26"/>
        <v>0</v>
      </c>
      <c r="X131" s="170">
        <f t="shared" si="26"/>
        <v>0</v>
      </c>
      <c r="Y131" s="170">
        <f t="shared" si="26"/>
        <v>1650000</v>
      </c>
      <c r="Z131" s="170">
        <f t="shared" si="26"/>
        <v>854460.18</v>
      </c>
      <c r="AA131" s="170">
        <f t="shared" si="26"/>
        <v>0</v>
      </c>
      <c r="AB131" s="146" t="s">
        <v>422</v>
      </c>
      <c r="AC131" s="146" t="s">
        <v>422</v>
      </c>
      <c r="AD131" s="146" t="s">
        <v>422</v>
      </c>
    </row>
    <row r="132" spans="1:30" x14ac:dyDescent="0.3">
      <c r="A132" s="121">
        <v>1</v>
      </c>
      <c r="B132" s="148">
        <f>SUBTOTAL(9,$A$19:A132)</f>
        <v>101</v>
      </c>
      <c r="C132" s="154" t="s">
        <v>589</v>
      </c>
      <c r="D132" s="163" t="s">
        <v>613</v>
      </c>
      <c r="E132" s="144">
        <f>F132+G132+H132+I132+J132+K132+M132+O132+Q132+S132+U132+V132+W132+X132+Z132+AA132+Y132</f>
        <v>9891909.9899999984</v>
      </c>
      <c r="F132" s="160">
        <v>0</v>
      </c>
      <c r="G132" s="160">
        <v>0</v>
      </c>
      <c r="H132" s="160">
        <v>0</v>
      </c>
      <c r="I132" s="160">
        <v>0</v>
      </c>
      <c r="J132" s="160">
        <v>0</v>
      </c>
      <c r="K132" s="160">
        <v>0</v>
      </c>
      <c r="L132" s="162">
        <v>0</v>
      </c>
      <c r="M132" s="160">
        <v>0</v>
      </c>
      <c r="N132" s="153">
        <v>900</v>
      </c>
      <c r="O132" s="153">
        <v>9548679.7899999991</v>
      </c>
      <c r="P132" s="160">
        <v>0</v>
      </c>
      <c r="Q132" s="160">
        <v>0</v>
      </c>
      <c r="R132" s="160">
        <v>0</v>
      </c>
      <c r="S132" s="160">
        <v>0</v>
      </c>
      <c r="T132" s="160">
        <v>0</v>
      </c>
      <c r="U132" s="160">
        <v>0</v>
      </c>
      <c r="V132" s="160">
        <v>0</v>
      </c>
      <c r="W132" s="160">
        <v>0</v>
      </c>
      <c r="X132" s="160">
        <v>0</v>
      </c>
      <c r="Y132" s="160">
        <v>200000</v>
      </c>
      <c r="Z132" s="160">
        <f>ROUND(O132*1.5%,2)</f>
        <v>143230.20000000001</v>
      </c>
      <c r="AA132" s="160">
        <v>0</v>
      </c>
      <c r="AB132" s="150">
        <v>2026</v>
      </c>
      <c r="AC132" s="150">
        <v>2026</v>
      </c>
      <c r="AD132" s="150">
        <v>2026</v>
      </c>
    </row>
    <row r="133" spans="1:30" x14ac:dyDescent="0.3">
      <c r="A133" s="121">
        <v>1</v>
      </c>
      <c r="B133" s="148">
        <f>SUBTOTAL(9,$A$19:A133)</f>
        <v>102</v>
      </c>
      <c r="C133" s="154" t="s">
        <v>687</v>
      </c>
      <c r="D133" s="163" t="s">
        <v>613</v>
      </c>
      <c r="E133" s="144">
        <f>F133+G133+H133+I133+J133+K133+M133+O133+Q133+S133+U133+V133+W133+X133+Z133+AA133+Y133</f>
        <v>7054362.0999999996</v>
      </c>
      <c r="F133" s="160">
        <v>0</v>
      </c>
      <c r="G133" s="160">
        <v>0</v>
      </c>
      <c r="H133" s="160">
        <v>0</v>
      </c>
      <c r="I133" s="160">
        <v>0</v>
      </c>
      <c r="J133" s="160">
        <v>0</v>
      </c>
      <c r="K133" s="160">
        <v>0</v>
      </c>
      <c r="L133" s="162">
        <v>0</v>
      </c>
      <c r="M133" s="160">
        <v>0</v>
      </c>
      <c r="N133" s="153">
        <v>698</v>
      </c>
      <c r="O133" s="153">
        <v>6703805.0199999996</v>
      </c>
      <c r="P133" s="160">
        <v>0</v>
      </c>
      <c r="Q133" s="160">
        <v>0</v>
      </c>
      <c r="R133" s="160">
        <v>0</v>
      </c>
      <c r="S133" s="160">
        <v>0</v>
      </c>
      <c r="T133" s="160">
        <v>0</v>
      </c>
      <c r="U133" s="160">
        <v>0</v>
      </c>
      <c r="V133" s="160">
        <v>0</v>
      </c>
      <c r="W133" s="160">
        <v>0</v>
      </c>
      <c r="X133" s="160">
        <v>0</v>
      </c>
      <c r="Y133" s="160">
        <v>250000</v>
      </c>
      <c r="Z133" s="160">
        <f>ROUND(O133*1.5%,2)</f>
        <v>100557.08</v>
      </c>
      <c r="AA133" s="160">
        <v>0</v>
      </c>
      <c r="AB133" s="150">
        <v>2026</v>
      </c>
      <c r="AC133" s="150">
        <v>2026</v>
      </c>
      <c r="AD133" s="150">
        <v>2026</v>
      </c>
    </row>
    <row r="134" spans="1:30" x14ac:dyDescent="0.3">
      <c r="A134" s="121">
        <v>1</v>
      </c>
      <c r="B134" s="148">
        <f>SUBTOTAL(9,$A$19:A134)</f>
        <v>103</v>
      </c>
      <c r="C134" s="154" t="s">
        <v>716</v>
      </c>
      <c r="D134" s="163" t="s">
        <v>613</v>
      </c>
      <c r="E134" s="144">
        <f t="shared" ref="E134:E135" si="27">F134+G134+H134+I134+J134+K134+M134+O134+Q134+S134+U134+V134+W134+X134+Z134+AA134+Y134</f>
        <v>23105714.419999998</v>
      </c>
      <c r="F134" s="160">
        <v>0</v>
      </c>
      <c r="G134" s="160">
        <v>0</v>
      </c>
      <c r="H134" s="160">
        <v>0</v>
      </c>
      <c r="I134" s="160">
        <v>0</v>
      </c>
      <c r="J134" s="160">
        <v>0</v>
      </c>
      <c r="K134" s="160">
        <v>0</v>
      </c>
      <c r="L134" s="162">
        <v>0</v>
      </c>
      <c r="M134" s="160">
        <v>0</v>
      </c>
      <c r="N134" s="153">
        <v>555.6</v>
      </c>
      <c r="O134" s="153">
        <v>9631251.4399999995</v>
      </c>
      <c r="P134" s="160">
        <v>0</v>
      </c>
      <c r="Q134" s="160">
        <v>0</v>
      </c>
      <c r="R134" s="160">
        <v>651.91</v>
      </c>
      <c r="S134" s="160">
        <v>7184961.96</v>
      </c>
      <c r="T134" s="160">
        <v>68.400000000000006</v>
      </c>
      <c r="U134" s="160">
        <v>5356904.26</v>
      </c>
      <c r="V134" s="160">
        <v>0</v>
      </c>
      <c r="W134" s="160">
        <v>0</v>
      </c>
      <c r="X134" s="160">
        <v>0</v>
      </c>
      <c r="Y134" s="160">
        <v>600000</v>
      </c>
      <c r="Z134" s="160">
        <f>ROUND(O134*1.5%,2)+ROUND(S134*1.5%,2)+ROUND(U134*1.5%,2)</f>
        <v>332596.76</v>
      </c>
      <c r="AA134" s="160">
        <v>0</v>
      </c>
      <c r="AB134" s="150">
        <v>2026</v>
      </c>
      <c r="AC134" s="150">
        <v>2026</v>
      </c>
      <c r="AD134" s="150">
        <v>2026</v>
      </c>
    </row>
    <row r="135" spans="1:30" x14ac:dyDescent="0.3">
      <c r="A135" s="121">
        <v>1</v>
      </c>
      <c r="B135" s="148">
        <f>SUBTOTAL(9,$A$19:A135)</f>
        <v>104</v>
      </c>
      <c r="C135" s="154" t="s">
        <v>717</v>
      </c>
      <c r="D135" s="163" t="s">
        <v>613</v>
      </c>
      <c r="E135" s="144">
        <f t="shared" si="27"/>
        <v>19416485.560000002</v>
      </c>
      <c r="F135" s="160">
        <v>0</v>
      </c>
      <c r="G135" s="160">
        <v>0</v>
      </c>
      <c r="H135" s="160">
        <v>0</v>
      </c>
      <c r="I135" s="160">
        <v>0</v>
      </c>
      <c r="J135" s="160">
        <v>0</v>
      </c>
      <c r="K135" s="160">
        <v>0</v>
      </c>
      <c r="L135" s="162">
        <v>0</v>
      </c>
      <c r="M135" s="160">
        <v>0</v>
      </c>
      <c r="N135" s="153">
        <v>392.89</v>
      </c>
      <c r="O135" s="153">
        <v>6752990.0899999999</v>
      </c>
      <c r="P135" s="160">
        <v>0</v>
      </c>
      <c r="Q135" s="160">
        <v>0</v>
      </c>
      <c r="R135" s="160">
        <v>614.66</v>
      </c>
      <c r="S135" s="160">
        <v>6752495.4100000001</v>
      </c>
      <c r="T135" s="160">
        <v>64.41</v>
      </c>
      <c r="U135" s="160">
        <v>5032923.92</v>
      </c>
      <c r="V135" s="160">
        <v>0</v>
      </c>
      <c r="W135" s="160">
        <v>0</v>
      </c>
      <c r="X135" s="160">
        <v>0</v>
      </c>
      <c r="Y135" s="160">
        <v>600000</v>
      </c>
      <c r="Z135" s="160">
        <f>ROUND(O135*1.5%,2)+ROUND(S135*1.5%,2)+ROUND(U135*1.5%,2)</f>
        <v>278076.14</v>
      </c>
      <c r="AA135" s="160">
        <v>0</v>
      </c>
      <c r="AB135" s="150">
        <v>2026</v>
      </c>
      <c r="AC135" s="150">
        <v>2026</v>
      </c>
      <c r="AD135" s="150">
        <v>2026</v>
      </c>
    </row>
    <row r="136" spans="1:30" x14ac:dyDescent="0.3">
      <c r="B136" s="141" t="s">
        <v>691</v>
      </c>
      <c r="C136" s="141"/>
      <c r="D136" s="171"/>
      <c r="E136" s="170">
        <f>E137+E138+E139+E140</f>
        <v>43840791.489999995</v>
      </c>
      <c r="F136" s="170">
        <f t="shared" ref="F136:AA136" si="28">F137+F138+F139+F140</f>
        <v>0</v>
      </c>
      <c r="G136" s="170">
        <f t="shared" si="28"/>
        <v>0</v>
      </c>
      <c r="H136" s="170">
        <f t="shared" si="28"/>
        <v>0</v>
      </c>
      <c r="I136" s="170">
        <f t="shared" si="28"/>
        <v>0</v>
      </c>
      <c r="J136" s="170">
        <f t="shared" si="28"/>
        <v>0</v>
      </c>
      <c r="K136" s="170">
        <f t="shared" si="28"/>
        <v>0</v>
      </c>
      <c r="L136" s="141">
        <f t="shared" si="28"/>
        <v>0</v>
      </c>
      <c r="M136" s="170">
        <f t="shared" si="28"/>
        <v>0</v>
      </c>
      <c r="N136" s="170">
        <f t="shared" si="28"/>
        <v>3983.2</v>
      </c>
      <c r="O136" s="170">
        <f t="shared" si="28"/>
        <v>42416996.18</v>
      </c>
      <c r="P136" s="170">
        <f t="shared" si="28"/>
        <v>0</v>
      </c>
      <c r="Q136" s="170">
        <f t="shared" si="28"/>
        <v>0</v>
      </c>
      <c r="R136" s="170">
        <f t="shared" si="28"/>
        <v>0</v>
      </c>
      <c r="S136" s="170">
        <f t="shared" si="28"/>
        <v>0</v>
      </c>
      <c r="T136" s="170">
        <f t="shared" si="28"/>
        <v>0</v>
      </c>
      <c r="U136" s="170">
        <f t="shared" si="28"/>
        <v>0</v>
      </c>
      <c r="V136" s="170">
        <f t="shared" si="28"/>
        <v>0</v>
      </c>
      <c r="W136" s="170">
        <f t="shared" si="28"/>
        <v>0</v>
      </c>
      <c r="X136" s="170">
        <f t="shared" si="28"/>
        <v>0</v>
      </c>
      <c r="Y136" s="170">
        <f t="shared" si="28"/>
        <v>787540.36</v>
      </c>
      <c r="Z136" s="170">
        <f t="shared" si="28"/>
        <v>636254.94999999995</v>
      </c>
      <c r="AA136" s="170">
        <f t="shared" si="28"/>
        <v>0</v>
      </c>
      <c r="AB136" s="146" t="s">
        <v>422</v>
      </c>
      <c r="AC136" s="146" t="s">
        <v>422</v>
      </c>
      <c r="AD136" s="146" t="s">
        <v>422</v>
      </c>
    </row>
    <row r="137" spans="1:30" x14ac:dyDescent="0.3">
      <c r="A137" s="121">
        <v>1</v>
      </c>
      <c r="B137" s="148">
        <f>SUBTOTAL(9,$A$19:A137)</f>
        <v>105</v>
      </c>
      <c r="C137" s="154" t="s">
        <v>183</v>
      </c>
      <c r="D137" s="163" t="s">
        <v>614</v>
      </c>
      <c r="E137" s="144">
        <f>F137+G137+H137+I137+J137+K137+M137+O137+Q137+S137+U137+V137+W137+X137+Z137+AA137+Y137</f>
        <v>4886144.43</v>
      </c>
      <c r="F137" s="160">
        <v>0</v>
      </c>
      <c r="G137" s="160">
        <v>0</v>
      </c>
      <c r="H137" s="160">
        <v>0</v>
      </c>
      <c r="I137" s="160">
        <v>0</v>
      </c>
      <c r="J137" s="160">
        <v>0</v>
      </c>
      <c r="K137" s="160">
        <v>0</v>
      </c>
      <c r="L137" s="162">
        <v>0</v>
      </c>
      <c r="M137" s="160">
        <v>0</v>
      </c>
      <c r="N137" s="153">
        <v>805</v>
      </c>
      <c r="O137" s="153">
        <f>4391349.99+259967.92</f>
        <v>4651317.91</v>
      </c>
      <c r="P137" s="160">
        <v>0</v>
      </c>
      <c r="Q137" s="160">
        <v>0</v>
      </c>
      <c r="R137" s="160">
        <v>0</v>
      </c>
      <c r="S137" s="160">
        <v>0</v>
      </c>
      <c r="T137" s="160">
        <v>0</v>
      </c>
      <c r="U137" s="160">
        <v>0</v>
      </c>
      <c r="V137" s="160">
        <v>0</v>
      </c>
      <c r="W137" s="160">
        <v>0</v>
      </c>
      <c r="X137" s="160">
        <v>0</v>
      </c>
      <c r="Y137" s="153">
        <v>165056.75</v>
      </c>
      <c r="Z137" s="160">
        <f>ROUND(O137*1.5%,2)</f>
        <v>69769.77</v>
      </c>
      <c r="AA137" s="160">
        <v>0</v>
      </c>
      <c r="AB137" s="150">
        <v>2026</v>
      </c>
      <c r="AC137" s="150">
        <v>2026</v>
      </c>
      <c r="AD137" s="150">
        <v>2026</v>
      </c>
    </row>
    <row r="138" spans="1:30" x14ac:dyDescent="0.3">
      <c r="A138" s="121">
        <v>1</v>
      </c>
      <c r="B138" s="148">
        <f>SUBTOTAL(9,$A$19:A138)</f>
        <v>106</v>
      </c>
      <c r="C138" s="154" t="s">
        <v>184</v>
      </c>
      <c r="D138" s="163" t="s">
        <v>614</v>
      </c>
      <c r="E138" s="144">
        <f>F138+G138+H138+I138+J138+K138+M138+O138+Q138+S138+U138+V138+W138+X138+Z138+AA138+Y138</f>
        <v>18412685.819999997</v>
      </c>
      <c r="F138" s="160">
        <v>0</v>
      </c>
      <c r="G138" s="160">
        <v>0</v>
      </c>
      <c r="H138" s="160">
        <v>0</v>
      </c>
      <c r="I138" s="160">
        <v>0</v>
      </c>
      <c r="J138" s="160">
        <v>0</v>
      </c>
      <c r="K138" s="160">
        <v>0</v>
      </c>
      <c r="L138" s="162">
        <v>0</v>
      </c>
      <c r="M138" s="160">
        <v>0</v>
      </c>
      <c r="N138" s="153">
        <v>1483.5</v>
      </c>
      <c r="O138" s="153">
        <f>16755937.31+991951.49-31957.69</f>
        <v>17715931.109999999</v>
      </c>
      <c r="P138" s="160">
        <v>0</v>
      </c>
      <c r="Q138" s="160">
        <v>0</v>
      </c>
      <c r="R138" s="160">
        <v>0</v>
      </c>
      <c r="S138" s="160">
        <v>0</v>
      </c>
      <c r="T138" s="160">
        <v>0</v>
      </c>
      <c r="U138" s="160">
        <v>0</v>
      </c>
      <c r="V138" s="160">
        <v>0</v>
      </c>
      <c r="W138" s="160">
        <v>0</v>
      </c>
      <c r="X138" s="160">
        <v>0</v>
      </c>
      <c r="Y138" s="153">
        <v>431015.74</v>
      </c>
      <c r="Z138" s="160">
        <f>ROUND(O138*1.5%,2)</f>
        <v>265738.96999999997</v>
      </c>
      <c r="AA138" s="160">
        <v>0</v>
      </c>
      <c r="AB138" s="150">
        <v>2026</v>
      </c>
      <c r="AC138" s="150">
        <v>2026</v>
      </c>
      <c r="AD138" s="150">
        <v>2026</v>
      </c>
    </row>
    <row r="139" spans="1:30" x14ac:dyDescent="0.3">
      <c r="A139" s="121">
        <v>1</v>
      </c>
      <c r="B139" s="148">
        <f>SUBTOTAL(9,$A$19:A139)</f>
        <v>107</v>
      </c>
      <c r="C139" s="154" t="s">
        <v>596</v>
      </c>
      <c r="D139" s="163" t="s">
        <v>614</v>
      </c>
      <c r="E139" s="144">
        <f>F139+G139+H139+I139+J139+K139+M139+O139+Q139+S139+U139+V139+W139+X139+Z139+AA139+Y139</f>
        <v>8615392.9700000007</v>
      </c>
      <c r="F139" s="160">
        <v>0</v>
      </c>
      <c r="G139" s="160">
        <v>0</v>
      </c>
      <c r="H139" s="160">
        <v>0</v>
      </c>
      <c r="I139" s="160">
        <v>0</v>
      </c>
      <c r="J139" s="160">
        <v>0</v>
      </c>
      <c r="K139" s="160">
        <v>0</v>
      </c>
      <c r="L139" s="162">
        <v>0</v>
      </c>
      <c r="M139" s="160">
        <v>0</v>
      </c>
      <c r="N139" s="153">
        <v>634.5</v>
      </c>
      <c r="O139" s="153">
        <f>8013663.04+474408.85</f>
        <v>8488071.8900000006</v>
      </c>
      <c r="P139" s="160">
        <v>0</v>
      </c>
      <c r="Q139" s="160">
        <v>0</v>
      </c>
      <c r="R139" s="160">
        <v>0</v>
      </c>
      <c r="S139" s="160">
        <v>0</v>
      </c>
      <c r="T139" s="160">
        <v>0</v>
      </c>
      <c r="U139" s="160">
        <v>0</v>
      </c>
      <c r="V139" s="160">
        <v>0</v>
      </c>
      <c r="W139" s="160">
        <v>0</v>
      </c>
      <c r="X139" s="160">
        <v>0</v>
      </c>
      <c r="Y139" s="160">
        <v>0</v>
      </c>
      <c r="Z139" s="160">
        <f>ROUND(O139*1.5%,2)</f>
        <v>127321.08</v>
      </c>
      <c r="AA139" s="160">
        <v>0</v>
      </c>
      <c r="AB139" s="146" t="s">
        <v>425</v>
      </c>
      <c r="AC139" s="150">
        <v>2026</v>
      </c>
      <c r="AD139" s="150">
        <v>2026</v>
      </c>
    </row>
    <row r="140" spans="1:30" x14ac:dyDescent="0.3">
      <c r="A140" s="121">
        <v>1</v>
      </c>
      <c r="B140" s="148">
        <f>SUBTOTAL(9,$A$19:A140)</f>
        <v>108</v>
      </c>
      <c r="C140" s="154" t="s">
        <v>185</v>
      </c>
      <c r="D140" s="163" t="s">
        <v>614</v>
      </c>
      <c r="E140" s="144">
        <f>F140+G140+H140+I140+J140+K140+M140+O140+Q140+S140+U140+V140+W140+X140+Z140+AA140+Y140</f>
        <v>11926568.27</v>
      </c>
      <c r="F140" s="160">
        <v>0</v>
      </c>
      <c r="G140" s="160">
        <v>0</v>
      </c>
      <c r="H140" s="160">
        <v>0</v>
      </c>
      <c r="I140" s="160">
        <v>0</v>
      </c>
      <c r="J140" s="160">
        <v>0</v>
      </c>
      <c r="K140" s="160">
        <v>0</v>
      </c>
      <c r="L140" s="162">
        <v>0</v>
      </c>
      <c r="M140" s="160">
        <v>0</v>
      </c>
      <c r="N140" s="153">
        <v>1060.2</v>
      </c>
      <c r="O140" s="153">
        <f>10915478.92+646196.35</f>
        <v>11561675.27</v>
      </c>
      <c r="P140" s="160">
        <v>0</v>
      </c>
      <c r="Q140" s="160">
        <v>0</v>
      </c>
      <c r="R140" s="160">
        <v>0</v>
      </c>
      <c r="S140" s="160">
        <v>0</v>
      </c>
      <c r="T140" s="160">
        <v>0</v>
      </c>
      <c r="U140" s="160">
        <v>0</v>
      </c>
      <c r="V140" s="160">
        <v>0</v>
      </c>
      <c r="W140" s="160">
        <v>0</v>
      </c>
      <c r="X140" s="160">
        <v>0</v>
      </c>
      <c r="Y140" s="160">
        <v>191467.87</v>
      </c>
      <c r="Z140" s="160">
        <f>ROUND(O140*1.5%,2)</f>
        <v>173425.13</v>
      </c>
      <c r="AA140" s="160">
        <v>0</v>
      </c>
      <c r="AB140" s="150">
        <v>2026</v>
      </c>
      <c r="AC140" s="150">
        <v>2026</v>
      </c>
      <c r="AD140" s="150">
        <v>2026</v>
      </c>
    </row>
    <row r="141" spans="1:30" x14ac:dyDescent="0.3">
      <c r="B141" s="141" t="s">
        <v>696</v>
      </c>
      <c r="C141" s="141"/>
      <c r="D141" s="171"/>
      <c r="E141" s="170">
        <f>E142+E143+E144+E145</f>
        <v>36548320.950000003</v>
      </c>
      <c r="F141" s="170">
        <f t="shared" ref="F141:AA141" si="29">F142+F143+F144+F145</f>
        <v>0</v>
      </c>
      <c r="G141" s="170">
        <f t="shared" si="29"/>
        <v>0</v>
      </c>
      <c r="H141" s="170">
        <f t="shared" si="29"/>
        <v>0</v>
      </c>
      <c r="I141" s="170">
        <f t="shared" si="29"/>
        <v>0</v>
      </c>
      <c r="J141" s="170">
        <f t="shared" si="29"/>
        <v>0</v>
      </c>
      <c r="K141" s="170">
        <f t="shared" si="29"/>
        <v>0</v>
      </c>
      <c r="L141" s="141">
        <f t="shared" si="29"/>
        <v>0</v>
      </c>
      <c r="M141" s="170">
        <f t="shared" si="29"/>
        <v>0</v>
      </c>
      <c r="N141" s="170">
        <f t="shared" si="29"/>
        <v>2323</v>
      </c>
      <c r="O141" s="170">
        <f t="shared" si="29"/>
        <v>28476432.490000002</v>
      </c>
      <c r="P141" s="170">
        <f t="shared" si="29"/>
        <v>0</v>
      </c>
      <c r="Q141" s="170">
        <f t="shared" si="29"/>
        <v>0</v>
      </c>
      <c r="R141" s="170">
        <f t="shared" si="29"/>
        <v>631.29999999999995</v>
      </c>
      <c r="S141" s="170">
        <f t="shared" si="29"/>
        <v>6940632.4900000002</v>
      </c>
      <c r="T141" s="170">
        <f t="shared" si="29"/>
        <v>0</v>
      </c>
      <c r="U141" s="170">
        <f t="shared" si="29"/>
        <v>0</v>
      </c>
      <c r="V141" s="170">
        <f t="shared" si="29"/>
        <v>0</v>
      </c>
      <c r="W141" s="170">
        <f t="shared" si="29"/>
        <v>0</v>
      </c>
      <c r="X141" s="170">
        <f t="shared" si="29"/>
        <v>0</v>
      </c>
      <c r="Y141" s="170">
        <f t="shared" si="29"/>
        <v>600000</v>
      </c>
      <c r="Z141" s="170">
        <f t="shared" si="29"/>
        <v>531255.97</v>
      </c>
      <c r="AA141" s="170">
        <f t="shared" si="29"/>
        <v>0</v>
      </c>
      <c r="AB141" s="146" t="s">
        <v>422</v>
      </c>
      <c r="AC141" s="146" t="s">
        <v>422</v>
      </c>
      <c r="AD141" s="146" t="s">
        <v>422</v>
      </c>
    </row>
    <row r="142" spans="1:30" x14ac:dyDescent="0.3">
      <c r="A142" s="121">
        <v>1</v>
      </c>
      <c r="B142" s="148">
        <f>SUBTOTAL(9,$A$19:A142)</f>
        <v>109</v>
      </c>
      <c r="C142" s="154" t="s">
        <v>595</v>
      </c>
      <c r="D142" s="163" t="s">
        <v>615</v>
      </c>
      <c r="E142" s="144">
        <f>F142+G142+H142+I142+J142+K142+M142+O142+Q142+S142+U142+V142+W142+X142+Z142+AA142+Y142</f>
        <v>11569348.5</v>
      </c>
      <c r="F142" s="160">
        <v>0</v>
      </c>
      <c r="G142" s="160">
        <v>0</v>
      </c>
      <c r="H142" s="160">
        <v>0</v>
      </c>
      <c r="I142" s="160">
        <v>0</v>
      </c>
      <c r="J142" s="160">
        <v>0</v>
      </c>
      <c r="K142" s="160">
        <v>0</v>
      </c>
      <c r="L142" s="162">
        <v>0</v>
      </c>
      <c r="M142" s="160">
        <v>0</v>
      </c>
      <c r="N142" s="151">
        <v>926</v>
      </c>
      <c r="O142" s="153">
        <v>11398372.91</v>
      </c>
      <c r="P142" s="160">
        <v>0</v>
      </c>
      <c r="Q142" s="160">
        <v>0</v>
      </c>
      <c r="R142" s="160">
        <v>0</v>
      </c>
      <c r="S142" s="160">
        <v>0</v>
      </c>
      <c r="T142" s="160">
        <v>0</v>
      </c>
      <c r="U142" s="160">
        <v>0</v>
      </c>
      <c r="V142" s="160">
        <v>0</v>
      </c>
      <c r="W142" s="160">
        <v>0</v>
      </c>
      <c r="X142" s="160">
        <v>0</v>
      </c>
      <c r="Y142" s="160">
        <v>0</v>
      </c>
      <c r="Z142" s="160">
        <f>ROUND(O142*1.5%,2)</f>
        <v>170975.59</v>
      </c>
      <c r="AA142" s="160">
        <v>0</v>
      </c>
      <c r="AB142" s="150" t="s">
        <v>425</v>
      </c>
      <c r="AC142" s="150">
        <v>2026</v>
      </c>
      <c r="AD142" s="150">
        <v>2026</v>
      </c>
    </row>
    <row r="143" spans="1:30" x14ac:dyDescent="0.3">
      <c r="A143" s="121">
        <v>1</v>
      </c>
      <c r="B143" s="148">
        <f>SUBTOTAL(9,$A$19:A143)</f>
        <v>110</v>
      </c>
      <c r="C143" s="154" t="s">
        <v>198</v>
      </c>
      <c r="D143" s="163" t="s">
        <v>615</v>
      </c>
      <c r="E143" s="144">
        <f t="shared" ref="E143:E144" si="30">F143+G143+H143+I143+J143+K143+M143+O143+Q143+S143+U143+V143+W143+X143+Z143+AA143+Y143</f>
        <v>4087632.2199999997</v>
      </c>
      <c r="F143" s="160">
        <v>0</v>
      </c>
      <c r="G143" s="160">
        <v>0</v>
      </c>
      <c r="H143" s="160">
        <v>0</v>
      </c>
      <c r="I143" s="160">
        <v>0</v>
      </c>
      <c r="J143" s="160">
        <v>0</v>
      </c>
      <c r="K143" s="160">
        <v>0</v>
      </c>
      <c r="L143" s="162">
        <v>0</v>
      </c>
      <c r="M143" s="160">
        <v>0</v>
      </c>
      <c r="N143" s="151">
        <v>322</v>
      </c>
      <c r="O143" s="153">
        <v>3830179.53</v>
      </c>
      <c r="P143" s="160">
        <v>0</v>
      </c>
      <c r="Q143" s="160">
        <v>0</v>
      </c>
      <c r="R143" s="160">
        <v>0</v>
      </c>
      <c r="S143" s="160">
        <v>0</v>
      </c>
      <c r="T143" s="160">
        <v>0</v>
      </c>
      <c r="U143" s="160">
        <v>0</v>
      </c>
      <c r="V143" s="160">
        <v>0</v>
      </c>
      <c r="W143" s="160">
        <v>0</v>
      </c>
      <c r="X143" s="160">
        <v>0</v>
      </c>
      <c r="Y143" s="160">
        <v>200000</v>
      </c>
      <c r="Z143" s="160">
        <f t="shared" ref="Z143:Z144" si="31">ROUND(O143*1.5%,2)</f>
        <v>57452.69</v>
      </c>
      <c r="AA143" s="160">
        <v>0</v>
      </c>
      <c r="AB143" s="150">
        <v>2026</v>
      </c>
      <c r="AC143" s="150">
        <v>2026</v>
      </c>
      <c r="AD143" s="150">
        <v>2026</v>
      </c>
    </row>
    <row r="144" spans="1:30" x14ac:dyDescent="0.3">
      <c r="A144" s="121">
        <v>1</v>
      </c>
      <c r="B144" s="148">
        <f>SUBTOTAL(9,$A$19:A144)</f>
        <v>111</v>
      </c>
      <c r="C144" s="154" t="s">
        <v>199</v>
      </c>
      <c r="D144" s="163" t="s">
        <v>615</v>
      </c>
      <c r="E144" s="144">
        <f t="shared" si="30"/>
        <v>13646598.25</v>
      </c>
      <c r="F144" s="160">
        <v>0</v>
      </c>
      <c r="G144" s="160">
        <v>0</v>
      </c>
      <c r="H144" s="160">
        <v>0</v>
      </c>
      <c r="I144" s="160">
        <v>0</v>
      </c>
      <c r="J144" s="160">
        <v>0</v>
      </c>
      <c r="K144" s="160">
        <v>0</v>
      </c>
      <c r="L144" s="162">
        <v>0</v>
      </c>
      <c r="M144" s="160">
        <v>0</v>
      </c>
      <c r="N144" s="151">
        <v>1075</v>
      </c>
      <c r="O144" s="153">
        <v>13247880.050000001</v>
      </c>
      <c r="P144" s="160">
        <v>0</v>
      </c>
      <c r="Q144" s="160">
        <v>0</v>
      </c>
      <c r="R144" s="160">
        <v>0</v>
      </c>
      <c r="S144" s="160">
        <v>0</v>
      </c>
      <c r="T144" s="160">
        <v>0</v>
      </c>
      <c r="U144" s="160">
        <v>0</v>
      </c>
      <c r="V144" s="160">
        <v>0</v>
      </c>
      <c r="W144" s="160">
        <v>0</v>
      </c>
      <c r="X144" s="160">
        <v>0</v>
      </c>
      <c r="Y144" s="160">
        <v>200000</v>
      </c>
      <c r="Z144" s="160">
        <f t="shared" si="31"/>
        <v>198718.2</v>
      </c>
      <c r="AA144" s="160">
        <v>0</v>
      </c>
      <c r="AB144" s="150">
        <v>2026</v>
      </c>
      <c r="AC144" s="150">
        <v>2026</v>
      </c>
      <c r="AD144" s="150">
        <v>2026</v>
      </c>
    </row>
    <row r="145" spans="1:31" x14ac:dyDescent="0.3">
      <c r="A145" s="121">
        <v>1</v>
      </c>
      <c r="B145" s="148">
        <f>SUBTOTAL(9,$A$19:A145)</f>
        <v>112</v>
      </c>
      <c r="C145" s="154" t="s">
        <v>200</v>
      </c>
      <c r="D145" s="163" t="s">
        <v>615</v>
      </c>
      <c r="E145" s="144">
        <f>F145+G145+H145+I145+J145+K145+M145+O145+Q145+S145+U145+V145+W145+X145+Z145+AA145+Y145</f>
        <v>7244741.9800000004</v>
      </c>
      <c r="F145" s="160">
        <v>0</v>
      </c>
      <c r="G145" s="160">
        <v>0</v>
      </c>
      <c r="H145" s="160">
        <v>0</v>
      </c>
      <c r="I145" s="160">
        <v>0</v>
      </c>
      <c r="J145" s="160">
        <v>0</v>
      </c>
      <c r="K145" s="160">
        <v>0</v>
      </c>
      <c r="L145" s="162">
        <v>0</v>
      </c>
      <c r="M145" s="160">
        <v>0</v>
      </c>
      <c r="N145" s="151">
        <v>0</v>
      </c>
      <c r="O145" s="153">
        <v>0</v>
      </c>
      <c r="P145" s="160">
        <v>0</v>
      </c>
      <c r="Q145" s="160">
        <v>0</v>
      </c>
      <c r="R145" s="151">
        <v>631.29999999999995</v>
      </c>
      <c r="S145" s="153">
        <v>6940632.4900000002</v>
      </c>
      <c r="T145" s="160">
        <v>0</v>
      </c>
      <c r="U145" s="160">
        <v>0</v>
      </c>
      <c r="V145" s="160">
        <v>0</v>
      </c>
      <c r="W145" s="160">
        <v>0</v>
      </c>
      <c r="X145" s="160">
        <v>0</v>
      </c>
      <c r="Y145" s="160">
        <v>200000</v>
      </c>
      <c r="Z145" s="160">
        <f>ROUND(S145*1.5%,2)</f>
        <v>104109.49</v>
      </c>
      <c r="AA145" s="160">
        <v>0</v>
      </c>
      <c r="AB145" s="150">
        <v>2026</v>
      </c>
      <c r="AC145" s="150">
        <v>2026</v>
      </c>
      <c r="AD145" s="150">
        <v>2026</v>
      </c>
    </row>
    <row r="146" spans="1:31" x14ac:dyDescent="0.3">
      <c r="B146" s="141" t="s">
        <v>667</v>
      </c>
      <c r="C146" s="141"/>
      <c r="D146" s="171"/>
      <c r="E146" s="170">
        <f>E147+E148+E149+E150+E151</f>
        <v>29943810.810000002</v>
      </c>
      <c r="F146" s="170">
        <f t="shared" ref="F146:AA146" si="32">F147+F148+F149+F150+F151</f>
        <v>0</v>
      </c>
      <c r="G146" s="170">
        <f t="shared" si="32"/>
        <v>0</v>
      </c>
      <c r="H146" s="170">
        <f t="shared" si="32"/>
        <v>0</v>
      </c>
      <c r="I146" s="170">
        <f t="shared" si="32"/>
        <v>0</v>
      </c>
      <c r="J146" s="170">
        <f t="shared" si="32"/>
        <v>0</v>
      </c>
      <c r="K146" s="170">
        <f t="shared" si="32"/>
        <v>0</v>
      </c>
      <c r="L146" s="162">
        <f t="shared" si="32"/>
        <v>0</v>
      </c>
      <c r="M146" s="170">
        <f t="shared" si="32"/>
        <v>0</v>
      </c>
      <c r="N146" s="170">
        <f t="shared" si="32"/>
        <v>2553.9</v>
      </c>
      <c r="O146" s="170">
        <f t="shared" si="32"/>
        <v>29058189.480000004</v>
      </c>
      <c r="P146" s="170">
        <f t="shared" si="32"/>
        <v>0</v>
      </c>
      <c r="Q146" s="170">
        <f t="shared" si="32"/>
        <v>0</v>
      </c>
      <c r="R146" s="170">
        <f t="shared" si="32"/>
        <v>0</v>
      </c>
      <c r="S146" s="170">
        <f t="shared" si="32"/>
        <v>0</v>
      </c>
      <c r="T146" s="170">
        <f t="shared" si="32"/>
        <v>0</v>
      </c>
      <c r="U146" s="170">
        <f t="shared" si="32"/>
        <v>0</v>
      </c>
      <c r="V146" s="170">
        <f t="shared" si="32"/>
        <v>0</v>
      </c>
      <c r="W146" s="170">
        <f t="shared" si="32"/>
        <v>0</v>
      </c>
      <c r="X146" s="170">
        <f t="shared" si="32"/>
        <v>0</v>
      </c>
      <c r="Y146" s="170">
        <f t="shared" si="32"/>
        <v>450000</v>
      </c>
      <c r="Z146" s="170">
        <f t="shared" si="32"/>
        <v>435621.33</v>
      </c>
      <c r="AA146" s="170">
        <f t="shared" si="32"/>
        <v>0</v>
      </c>
      <c r="AB146" s="146" t="s">
        <v>422</v>
      </c>
      <c r="AC146" s="146" t="s">
        <v>422</v>
      </c>
      <c r="AD146" s="146" t="s">
        <v>422</v>
      </c>
    </row>
    <row r="147" spans="1:31" x14ac:dyDescent="0.3">
      <c r="A147" s="121">
        <v>1</v>
      </c>
      <c r="B147" s="148">
        <f>SUBTOTAL(9,$A$19:A147)</f>
        <v>113</v>
      </c>
      <c r="C147" s="154" t="s">
        <v>208</v>
      </c>
      <c r="D147" s="163" t="s">
        <v>616</v>
      </c>
      <c r="E147" s="144">
        <f t="shared" ref="E147:E151" si="33">F147+G147+H147+I147+J147+K147+M147+O147+Q147+S147+U147+V147+W147+X147+Z147+AA147+Y147</f>
        <v>9262564.3399999999</v>
      </c>
      <c r="F147" s="160">
        <v>0</v>
      </c>
      <c r="G147" s="160">
        <v>0</v>
      </c>
      <c r="H147" s="160">
        <v>0</v>
      </c>
      <c r="I147" s="160">
        <v>0</v>
      </c>
      <c r="J147" s="160">
        <v>0</v>
      </c>
      <c r="K147" s="160">
        <v>0</v>
      </c>
      <c r="L147" s="162">
        <v>0</v>
      </c>
      <c r="M147" s="160">
        <v>0</v>
      </c>
      <c r="N147" s="177">
        <v>835.9</v>
      </c>
      <c r="O147" s="153">
        <v>9125679.1500000004</v>
      </c>
      <c r="P147" s="160">
        <v>0</v>
      </c>
      <c r="Q147" s="160">
        <v>0</v>
      </c>
      <c r="R147" s="160">
        <v>0</v>
      </c>
      <c r="S147" s="160">
        <v>0</v>
      </c>
      <c r="T147" s="160">
        <v>0</v>
      </c>
      <c r="U147" s="160">
        <v>0</v>
      </c>
      <c r="V147" s="160">
        <v>0</v>
      </c>
      <c r="W147" s="160">
        <v>0</v>
      </c>
      <c r="X147" s="160">
        <v>0</v>
      </c>
      <c r="Y147" s="160">
        <v>0</v>
      </c>
      <c r="Z147" s="160">
        <f t="shared" ref="Z147:Z148" si="34">ROUND(O147*1.5%,2)</f>
        <v>136885.19</v>
      </c>
      <c r="AA147" s="160">
        <v>0</v>
      </c>
      <c r="AB147" s="146" t="s">
        <v>425</v>
      </c>
      <c r="AC147" s="150">
        <v>2026</v>
      </c>
      <c r="AD147" s="150">
        <v>2026</v>
      </c>
    </row>
    <row r="148" spans="1:31" x14ac:dyDescent="0.3">
      <c r="A148" s="121">
        <v>1</v>
      </c>
      <c r="B148" s="148">
        <f>SUBTOTAL(9,$A$19:A148)</f>
        <v>114</v>
      </c>
      <c r="C148" s="154" t="s">
        <v>209</v>
      </c>
      <c r="D148" s="163" t="s">
        <v>616</v>
      </c>
      <c r="E148" s="144">
        <f t="shared" si="33"/>
        <v>2404045.5299999998</v>
      </c>
      <c r="F148" s="160">
        <v>0</v>
      </c>
      <c r="G148" s="160">
        <v>0</v>
      </c>
      <c r="H148" s="160">
        <v>0</v>
      </c>
      <c r="I148" s="160">
        <v>0</v>
      </c>
      <c r="J148" s="160">
        <v>0</v>
      </c>
      <c r="K148" s="160">
        <v>0</v>
      </c>
      <c r="L148" s="162">
        <v>0</v>
      </c>
      <c r="M148" s="160">
        <v>0</v>
      </c>
      <c r="N148" s="177">
        <v>235</v>
      </c>
      <c r="O148" s="153">
        <v>2368517.7599999998</v>
      </c>
      <c r="P148" s="160">
        <v>0</v>
      </c>
      <c r="Q148" s="160">
        <v>0</v>
      </c>
      <c r="R148" s="160">
        <v>0</v>
      </c>
      <c r="S148" s="160">
        <v>0</v>
      </c>
      <c r="T148" s="160">
        <v>0</v>
      </c>
      <c r="U148" s="160">
        <v>0</v>
      </c>
      <c r="V148" s="160">
        <v>0</v>
      </c>
      <c r="W148" s="160">
        <v>0</v>
      </c>
      <c r="X148" s="160">
        <v>0</v>
      </c>
      <c r="Y148" s="160">
        <v>0</v>
      </c>
      <c r="Z148" s="160">
        <f t="shared" si="34"/>
        <v>35527.769999999997</v>
      </c>
      <c r="AA148" s="160">
        <v>0</v>
      </c>
      <c r="AB148" s="146" t="s">
        <v>425</v>
      </c>
      <c r="AC148" s="150">
        <v>2026</v>
      </c>
      <c r="AD148" s="150">
        <v>2026</v>
      </c>
    </row>
    <row r="149" spans="1:31" s="165" customFormat="1" x14ac:dyDescent="0.3">
      <c r="A149" s="121">
        <v>1</v>
      </c>
      <c r="B149" s="148">
        <f>SUBTOTAL(9,$A$19:A149)</f>
        <v>115</v>
      </c>
      <c r="C149" s="161" t="s">
        <v>605</v>
      </c>
      <c r="D149" s="175" t="s">
        <v>616</v>
      </c>
      <c r="E149" s="153">
        <f t="shared" ref="E149" si="35">F149+G149+H149+I149+J149+K149+M149+O149+Q149+S149+U149+V149+W149+X149+Y149+Z149+AA149</f>
        <v>3403732.66</v>
      </c>
      <c r="F149" s="158">
        <v>0</v>
      </c>
      <c r="G149" s="158">
        <v>0</v>
      </c>
      <c r="H149" s="158">
        <v>0</v>
      </c>
      <c r="I149" s="158">
        <v>0</v>
      </c>
      <c r="J149" s="158">
        <v>0</v>
      </c>
      <c r="K149" s="158">
        <v>0</v>
      </c>
      <c r="L149" s="159">
        <v>0</v>
      </c>
      <c r="M149" s="158">
        <v>0</v>
      </c>
      <c r="N149" s="153">
        <v>300</v>
      </c>
      <c r="O149" s="153">
        <v>3353679</v>
      </c>
      <c r="P149" s="158">
        <v>0</v>
      </c>
      <c r="Q149" s="158">
        <v>0</v>
      </c>
      <c r="R149" s="158">
        <v>0</v>
      </c>
      <c r="S149" s="158">
        <v>0</v>
      </c>
      <c r="T149" s="158">
        <v>0</v>
      </c>
      <c r="U149" s="158">
        <v>0</v>
      </c>
      <c r="V149" s="158">
        <v>0</v>
      </c>
      <c r="W149" s="158">
        <v>0</v>
      </c>
      <c r="X149" s="158">
        <v>0</v>
      </c>
      <c r="Y149" s="153">
        <v>0</v>
      </c>
      <c r="Z149" s="153">
        <f>ROUND(O149*1.4925%,2)</f>
        <v>50053.66</v>
      </c>
      <c r="AA149" s="158">
        <v>0</v>
      </c>
      <c r="AB149" s="132" t="s">
        <v>425</v>
      </c>
      <c r="AC149" s="132">
        <v>2026</v>
      </c>
      <c r="AD149" s="132">
        <v>2026</v>
      </c>
    </row>
    <row r="150" spans="1:31" ht="21.75" customHeight="1" x14ac:dyDescent="0.3">
      <c r="A150" s="121">
        <v>1</v>
      </c>
      <c r="B150" s="148">
        <f>SUBTOTAL(9,$A$19:A150)</f>
        <v>116</v>
      </c>
      <c r="C150" s="154" t="s">
        <v>213</v>
      </c>
      <c r="D150" s="163" t="s">
        <v>616</v>
      </c>
      <c r="E150" s="144">
        <f t="shared" si="33"/>
        <v>5014331.45</v>
      </c>
      <c r="F150" s="160">
        <v>0</v>
      </c>
      <c r="G150" s="160">
        <v>0</v>
      </c>
      <c r="H150" s="160">
        <v>0</v>
      </c>
      <c r="I150" s="160">
        <v>0</v>
      </c>
      <c r="J150" s="160">
        <v>0</v>
      </c>
      <c r="K150" s="160">
        <v>0</v>
      </c>
      <c r="L150" s="162">
        <v>0</v>
      </c>
      <c r="M150" s="160">
        <v>0</v>
      </c>
      <c r="N150" s="177">
        <v>395</v>
      </c>
      <c r="O150" s="153">
        <v>4743183.6900000004</v>
      </c>
      <c r="P150" s="160">
        <v>0</v>
      </c>
      <c r="Q150" s="160">
        <v>0</v>
      </c>
      <c r="R150" s="160">
        <v>0</v>
      </c>
      <c r="S150" s="160">
        <v>0</v>
      </c>
      <c r="T150" s="160">
        <v>0</v>
      </c>
      <c r="U150" s="160">
        <v>0</v>
      </c>
      <c r="V150" s="160">
        <v>0</v>
      </c>
      <c r="W150" s="160">
        <v>0</v>
      </c>
      <c r="X150" s="160">
        <v>0</v>
      </c>
      <c r="Y150" s="160">
        <v>200000</v>
      </c>
      <c r="Z150" s="160">
        <f>ROUND(O150*1.5%,2)</f>
        <v>71147.759999999995</v>
      </c>
      <c r="AA150" s="160">
        <v>0</v>
      </c>
      <c r="AB150" s="150">
        <v>2026</v>
      </c>
      <c r="AC150" s="150">
        <v>2026</v>
      </c>
      <c r="AD150" s="150">
        <v>2026</v>
      </c>
    </row>
    <row r="151" spans="1:31" ht="21.75" customHeight="1" x14ac:dyDescent="0.3">
      <c r="A151" s="121">
        <v>1</v>
      </c>
      <c r="B151" s="148">
        <f>SUBTOTAL(9,$A$19:A151)</f>
        <v>117</v>
      </c>
      <c r="C151" s="154" t="s">
        <v>674</v>
      </c>
      <c r="D151" s="163" t="s">
        <v>616</v>
      </c>
      <c r="E151" s="144">
        <f t="shared" si="33"/>
        <v>9859136.8300000001</v>
      </c>
      <c r="F151" s="160">
        <v>0</v>
      </c>
      <c r="G151" s="160">
        <v>0</v>
      </c>
      <c r="H151" s="160">
        <v>0</v>
      </c>
      <c r="I151" s="160">
        <v>0</v>
      </c>
      <c r="J151" s="160">
        <v>0</v>
      </c>
      <c r="K151" s="160">
        <v>0</v>
      </c>
      <c r="L151" s="162">
        <v>0</v>
      </c>
      <c r="M151" s="160">
        <v>0</v>
      </c>
      <c r="N151" s="177">
        <v>788</v>
      </c>
      <c r="O151" s="153">
        <v>9467129.8800000008</v>
      </c>
      <c r="P151" s="160">
        <v>0</v>
      </c>
      <c r="Q151" s="160">
        <v>0</v>
      </c>
      <c r="R151" s="160">
        <v>0</v>
      </c>
      <c r="S151" s="160">
        <v>0</v>
      </c>
      <c r="T151" s="160">
        <v>0</v>
      </c>
      <c r="U151" s="160">
        <v>0</v>
      </c>
      <c r="V151" s="160">
        <v>0</v>
      </c>
      <c r="W151" s="160">
        <v>0</v>
      </c>
      <c r="X151" s="160">
        <v>0</v>
      </c>
      <c r="Y151" s="160">
        <v>250000</v>
      </c>
      <c r="Z151" s="160">
        <f>ROUND(O151*1.5%,2)</f>
        <v>142006.95000000001</v>
      </c>
      <c r="AA151" s="160">
        <v>0</v>
      </c>
      <c r="AB151" s="150">
        <v>2026</v>
      </c>
      <c r="AC151" s="150">
        <v>2026</v>
      </c>
      <c r="AD151" s="150">
        <v>2026</v>
      </c>
    </row>
    <row r="152" spans="1:31" x14ac:dyDescent="0.3">
      <c r="B152" s="141" t="s">
        <v>221</v>
      </c>
      <c r="C152" s="141"/>
      <c r="D152" s="171"/>
      <c r="E152" s="170">
        <f>SUM(E153:E155)</f>
        <v>19260578.530000001</v>
      </c>
      <c r="F152" s="160">
        <f>SUM(F153:F155)</f>
        <v>0</v>
      </c>
      <c r="G152" s="170">
        <f t="shared" ref="G152:AA152" si="36">SUM(G153:G155)</f>
        <v>0</v>
      </c>
      <c r="H152" s="160">
        <f t="shared" si="36"/>
        <v>0</v>
      </c>
      <c r="I152" s="170">
        <f t="shared" si="36"/>
        <v>0</v>
      </c>
      <c r="J152" s="160">
        <f t="shared" si="36"/>
        <v>0</v>
      </c>
      <c r="K152" s="170">
        <f t="shared" si="36"/>
        <v>0</v>
      </c>
      <c r="L152" s="173">
        <f t="shared" si="36"/>
        <v>0</v>
      </c>
      <c r="M152" s="170">
        <f t="shared" si="36"/>
        <v>0</v>
      </c>
      <c r="N152" s="160">
        <f t="shared" si="36"/>
        <v>1716.1</v>
      </c>
      <c r="O152" s="170">
        <f t="shared" si="36"/>
        <v>18508511.399999999</v>
      </c>
      <c r="P152" s="160">
        <f t="shared" si="36"/>
        <v>0</v>
      </c>
      <c r="Q152" s="170">
        <f t="shared" si="36"/>
        <v>0</v>
      </c>
      <c r="R152" s="160">
        <f t="shared" si="36"/>
        <v>0</v>
      </c>
      <c r="S152" s="170">
        <f t="shared" si="36"/>
        <v>0</v>
      </c>
      <c r="T152" s="160">
        <f t="shared" si="36"/>
        <v>0</v>
      </c>
      <c r="U152" s="170">
        <f t="shared" si="36"/>
        <v>0</v>
      </c>
      <c r="V152" s="160">
        <f t="shared" si="36"/>
        <v>0</v>
      </c>
      <c r="W152" s="170">
        <f t="shared" si="36"/>
        <v>0</v>
      </c>
      <c r="X152" s="160">
        <f t="shared" si="36"/>
        <v>0</v>
      </c>
      <c r="Y152" s="170">
        <f t="shared" si="36"/>
        <v>304439.46000000002</v>
      </c>
      <c r="Z152" s="160">
        <f t="shared" si="36"/>
        <v>277627.67000000004</v>
      </c>
      <c r="AA152" s="170">
        <f t="shared" si="36"/>
        <v>170000</v>
      </c>
      <c r="AB152" s="146" t="s">
        <v>422</v>
      </c>
      <c r="AC152" s="146" t="s">
        <v>422</v>
      </c>
      <c r="AD152" s="146" t="s">
        <v>422</v>
      </c>
    </row>
    <row r="153" spans="1:31" x14ac:dyDescent="0.3">
      <c r="A153" s="121">
        <v>1</v>
      </c>
      <c r="B153" s="148">
        <f>SUBTOTAL(9,$A$19:A153)</f>
        <v>118</v>
      </c>
      <c r="C153" s="154" t="s">
        <v>216</v>
      </c>
      <c r="D153" s="163" t="s">
        <v>617</v>
      </c>
      <c r="E153" s="144">
        <f t="shared" ref="E153:E154" si="37">F153+G153+H153+I153+J153+K153+M153+O153+Q153+S153+U153+V153+W153+X153+Z153+AA153+Y153</f>
        <v>7570888</v>
      </c>
      <c r="F153" s="160">
        <v>0</v>
      </c>
      <c r="G153" s="160">
        <v>0</v>
      </c>
      <c r="H153" s="160">
        <v>0</v>
      </c>
      <c r="I153" s="160">
        <v>0</v>
      </c>
      <c r="J153" s="160">
        <v>0</v>
      </c>
      <c r="K153" s="160">
        <v>0</v>
      </c>
      <c r="L153" s="162">
        <v>0</v>
      </c>
      <c r="M153" s="160">
        <v>0</v>
      </c>
      <c r="N153" s="177">
        <v>600</v>
      </c>
      <c r="O153" s="153">
        <v>7159062.5999999996</v>
      </c>
      <c r="P153" s="160">
        <v>0</v>
      </c>
      <c r="Q153" s="160">
        <v>0</v>
      </c>
      <c r="R153" s="160">
        <v>0</v>
      </c>
      <c r="S153" s="160">
        <v>0</v>
      </c>
      <c r="T153" s="160">
        <v>0</v>
      </c>
      <c r="U153" s="160">
        <v>0</v>
      </c>
      <c r="V153" s="160">
        <v>0</v>
      </c>
      <c r="W153" s="160">
        <v>0</v>
      </c>
      <c r="X153" s="160">
        <v>0</v>
      </c>
      <c r="Y153" s="160">
        <v>304439.46000000002</v>
      </c>
      <c r="Z153" s="160">
        <f t="shared" ref="Z153:Z154" si="38">ROUND(O153*1.5%,2)</f>
        <v>107385.94</v>
      </c>
      <c r="AA153" s="160">
        <v>0</v>
      </c>
      <c r="AB153" s="150">
        <v>2026</v>
      </c>
      <c r="AC153" s="150">
        <v>2026</v>
      </c>
      <c r="AD153" s="150">
        <v>2026</v>
      </c>
    </row>
    <row r="154" spans="1:31" x14ac:dyDescent="0.3">
      <c r="A154" s="121">
        <v>1</v>
      </c>
      <c r="B154" s="148">
        <f>SUBTOTAL(9,$A$19:A154)</f>
        <v>119</v>
      </c>
      <c r="C154" s="154" t="s">
        <v>217</v>
      </c>
      <c r="D154" s="163" t="s">
        <v>617</v>
      </c>
      <c r="E154" s="144">
        <f t="shared" si="37"/>
        <v>8074067.7999999998</v>
      </c>
      <c r="F154" s="160">
        <v>0</v>
      </c>
      <c r="G154" s="160">
        <v>0</v>
      </c>
      <c r="H154" s="160">
        <v>0</v>
      </c>
      <c r="I154" s="160">
        <v>0</v>
      </c>
      <c r="J154" s="160">
        <v>0</v>
      </c>
      <c r="K154" s="160">
        <v>0</v>
      </c>
      <c r="L154" s="162">
        <v>0</v>
      </c>
      <c r="M154" s="160">
        <v>0</v>
      </c>
      <c r="N154" s="177">
        <v>781.1</v>
      </c>
      <c r="O154" s="153">
        <v>7954746.5999999996</v>
      </c>
      <c r="P154" s="160">
        <v>0</v>
      </c>
      <c r="Q154" s="160">
        <v>0</v>
      </c>
      <c r="R154" s="160">
        <v>0</v>
      </c>
      <c r="S154" s="160">
        <v>0</v>
      </c>
      <c r="T154" s="160">
        <v>0</v>
      </c>
      <c r="U154" s="160">
        <v>0</v>
      </c>
      <c r="V154" s="160">
        <v>0</v>
      </c>
      <c r="W154" s="160">
        <v>0</v>
      </c>
      <c r="X154" s="160">
        <v>0</v>
      </c>
      <c r="Y154" s="160">
        <v>0</v>
      </c>
      <c r="Z154" s="160">
        <f t="shared" si="38"/>
        <v>119321.2</v>
      </c>
      <c r="AA154" s="160">
        <v>0</v>
      </c>
      <c r="AB154" s="146" t="s">
        <v>425</v>
      </c>
      <c r="AC154" s="150">
        <v>2026</v>
      </c>
      <c r="AD154" s="150">
        <v>2026</v>
      </c>
    </row>
    <row r="155" spans="1:31" s="165" customFormat="1" x14ac:dyDescent="0.3">
      <c r="A155" s="121">
        <v>1</v>
      </c>
      <c r="B155" s="148">
        <f>SUBTOTAL(9,$A$19:A155)</f>
        <v>120</v>
      </c>
      <c r="C155" s="161" t="s">
        <v>658</v>
      </c>
      <c r="D155" s="175" t="s">
        <v>617</v>
      </c>
      <c r="E155" s="153">
        <f t="shared" ref="E155" si="39">F155+G155+H155+I155+J155+K155+M155+O155+Q155+S155+U155+V155+W155+X155+Y155+Z155+AA155</f>
        <v>3615622.73</v>
      </c>
      <c r="F155" s="158">
        <v>0</v>
      </c>
      <c r="G155" s="158">
        <v>0</v>
      </c>
      <c r="H155" s="158">
        <v>0</v>
      </c>
      <c r="I155" s="158">
        <v>0</v>
      </c>
      <c r="J155" s="158">
        <v>0</v>
      </c>
      <c r="K155" s="158">
        <v>0</v>
      </c>
      <c r="L155" s="159">
        <v>0</v>
      </c>
      <c r="M155" s="158">
        <v>0</v>
      </c>
      <c r="N155" s="164">
        <v>335</v>
      </c>
      <c r="O155" s="153">
        <f>2661794.45+732907.75</f>
        <v>3394702.2</v>
      </c>
      <c r="P155" s="158">
        <v>0</v>
      </c>
      <c r="Q155" s="158">
        <v>0</v>
      </c>
      <c r="R155" s="153">
        <v>0</v>
      </c>
      <c r="S155" s="153">
        <v>0</v>
      </c>
      <c r="T155" s="158">
        <v>0</v>
      </c>
      <c r="U155" s="158">
        <v>0</v>
      </c>
      <c r="V155" s="158">
        <v>0</v>
      </c>
      <c r="W155" s="158">
        <v>0</v>
      </c>
      <c r="X155" s="158">
        <v>0</v>
      </c>
      <c r="Y155" s="158">
        <v>0</v>
      </c>
      <c r="Z155" s="153">
        <f>ROUND(O155*1.5%,2)</f>
        <v>50920.53</v>
      </c>
      <c r="AA155" s="158">
        <v>170000</v>
      </c>
      <c r="AB155" s="132" t="s">
        <v>425</v>
      </c>
      <c r="AC155" s="132">
        <v>2026</v>
      </c>
      <c r="AD155" s="132">
        <v>2026</v>
      </c>
      <c r="AE155" s="169"/>
    </row>
    <row r="156" spans="1:31" x14ac:dyDescent="0.3">
      <c r="B156" s="141" t="s">
        <v>694</v>
      </c>
      <c r="C156" s="141"/>
      <c r="D156" s="171"/>
      <c r="E156" s="170">
        <f>SUM(E157:E163)</f>
        <v>76637550.150000006</v>
      </c>
      <c r="F156" s="160">
        <f t="shared" ref="F156:AA156" si="40">SUM(F157:F163)</f>
        <v>0</v>
      </c>
      <c r="G156" s="170">
        <f t="shared" si="40"/>
        <v>0</v>
      </c>
      <c r="H156" s="160">
        <f t="shared" si="40"/>
        <v>0</v>
      </c>
      <c r="I156" s="170">
        <f t="shared" si="40"/>
        <v>0</v>
      </c>
      <c r="J156" s="160">
        <f t="shared" si="40"/>
        <v>2129450.73</v>
      </c>
      <c r="K156" s="170">
        <f t="shared" si="40"/>
        <v>0</v>
      </c>
      <c r="L156" s="173">
        <f t="shared" si="40"/>
        <v>0</v>
      </c>
      <c r="M156" s="170">
        <f t="shared" si="40"/>
        <v>0</v>
      </c>
      <c r="N156" s="160">
        <f t="shared" si="40"/>
        <v>6610.26</v>
      </c>
      <c r="O156" s="170">
        <f t="shared" si="40"/>
        <v>72370622.469999999</v>
      </c>
      <c r="P156" s="160">
        <f t="shared" si="40"/>
        <v>0</v>
      </c>
      <c r="Q156" s="170">
        <f t="shared" si="40"/>
        <v>0</v>
      </c>
      <c r="R156" s="160">
        <f t="shared" si="40"/>
        <v>0</v>
      </c>
      <c r="S156" s="170">
        <f t="shared" si="40"/>
        <v>0</v>
      </c>
      <c r="T156" s="160">
        <f t="shared" si="40"/>
        <v>0</v>
      </c>
      <c r="U156" s="170">
        <f t="shared" si="40"/>
        <v>0</v>
      </c>
      <c r="V156" s="160">
        <f t="shared" si="40"/>
        <v>0</v>
      </c>
      <c r="W156" s="170">
        <f t="shared" si="40"/>
        <v>0</v>
      </c>
      <c r="X156" s="160">
        <f t="shared" si="40"/>
        <v>0</v>
      </c>
      <c r="Y156" s="170">
        <f t="shared" si="40"/>
        <v>1020918.31</v>
      </c>
      <c r="Z156" s="160">
        <f t="shared" si="40"/>
        <v>1116558.6400000001</v>
      </c>
      <c r="AA156" s="170">
        <f t="shared" si="40"/>
        <v>0</v>
      </c>
      <c r="AB156" s="146" t="s">
        <v>422</v>
      </c>
      <c r="AC156" s="146" t="s">
        <v>422</v>
      </c>
      <c r="AD156" s="146" t="s">
        <v>422</v>
      </c>
    </row>
    <row r="157" spans="1:31" x14ac:dyDescent="0.3">
      <c r="A157" s="121">
        <v>1</v>
      </c>
      <c r="B157" s="148">
        <f>SUBTOTAL(9,$A$19:A157)</f>
        <v>121</v>
      </c>
      <c r="C157" s="154" t="s">
        <v>272</v>
      </c>
      <c r="D157" s="163" t="s">
        <v>618</v>
      </c>
      <c r="E157" s="144">
        <f>F157+G157+H157+I157+J157+K157+M157+O157+Q157+S157+U157+V157+W157+X157+Z157+AA157+Y157</f>
        <v>6118469.2400000002</v>
      </c>
      <c r="F157" s="178">
        <v>0</v>
      </c>
      <c r="G157" s="178">
        <v>0</v>
      </c>
      <c r="H157" s="178">
        <v>0</v>
      </c>
      <c r="I157" s="178">
        <v>0</v>
      </c>
      <c r="J157" s="178">
        <v>0</v>
      </c>
      <c r="K157" s="178">
        <v>0</v>
      </c>
      <c r="L157" s="179">
        <v>0</v>
      </c>
      <c r="M157" s="178">
        <v>0</v>
      </c>
      <c r="N157" s="164">
        <v>582.9</v>
      </c>
      <c r="O157" s="153">
        <f>5528048.51+500000</f>
        <v>6028048.5099999998</v>
      </c>
      <c r="P157" s="178">
        <v>0</v>
      </c>
      <c r="Q157" s="178">
        <v>0</v>
      </c>
      <c r="R157" s="153">
        <v>0</v>
      </c>
      <c r="S157" s="153">
        <v>0</v>
      </c>
      <c r="T157" s="160">
        <v>0</v>
      </c>
      <c r="U157" s="160">
        <v>0</v>
      </c>
      <c r="V157" s="160">
        <v>0</v>
      </c>
      <c r="W157" s="160">
        <v>0</v>
      </c>
      <c r="X157" s="160">
        <v>0</v>
      </c>
      <c r="Y157" s="160">
        <v>0</v>
      </c>
      <c r="Z157" s="160">
        <f>ROUND(O157*1.5%,2)</f>
        <v>90420.73</v>
      </c>
      <c r="AA157" s="160">
        <v>0</v>
      </c>
      <c r="AB157" s="146" t="s">
        <v>425</v>
      </c>
      <c r="AC157" s="150">
        <v>2026</v>
      </c>
      <c r="AD157" s="150">
        <v>2026</v>
      </c>
    </row>
    <row r="158" spans="1:31" x14ac:dyDescent="0.3">
      <c r="A158" s="121">
        <v>1</v>
      </c>
      <c r="B158" s="148">
        <f>SUBTOTAL(9,$A$19:A158)</f>
        <v>122</v>
      </c>
      <c r="C158" s="154" t="s">
        <v>273</v>
      </c>
      <c r="D158" s="163" t="s">
        <v>618</v>
      </c>
      <c r="E158" s="144">
        <f t="shared" ref="E158:E159" si="41">F158+G158+H158+I158+J158+K158+M158+O158+Q158+S158+U158+V158+W158+X158+Z158+AA158+Y158</f>
        <v>7007140.6799999997</v>
      </c>
      <c r="F158" s="178">
        <v>0</v>
      </c>
      <c r="G158" s="178">
        <v>0</v>
      </c>
      <c r="H158" s="178">
        <v>0</v>
      </c>
      <c r="I158" s="178">
        <v>0</v>
      </c>
      <c r="J158" s="178">
        <v>0</v>
      </c>
      <c r="K158" s="178">
        <v>0</v>
      </c>
      <c r="L158" s="179">
        <v>0</v>
      </c>
      <c r="M158" s="178">
        <v>0</v>
      </c>
      <c r="N158" s="164">
        <v>616.23</v>
      </c>
      <c r="O158" s="153">
        <v>6725177.6699999999</v>
      </c>
      <c r="P158" s="178">
        <v>0</v>
      </c>
      <c r="Q158" s="178">
        <v>0</v>
      </c>
      <c r="R158" s="153">
        <v>0</v>
      </c>
      <c r="S158" s="153">
        <v>0</v>
      </c>
      <c r="T158" s="160">
        <v>0</v>
      </c>
      <c r="U158" s="160">
        <v>0</v>
      </c>
      <c r="V158" s="160">
        <v>0</v>
      </c>
      <c r="W158" s="160">
        <v>0</v>
      </c>
      <c r="X158" s="160">
        <v>0</v>
      </c>
      <c r="Y158" s="153">
        <v>181085.34</v>
      </c>
      <c r="Z158" s="160">
        <f t="shared" ref="Z158:Z159" si="42">ROUND(O158*1.5%,2)</f>
        <v>100877.67</v>
      </c>
      <c r="AA158" s="160">
        <v>0</v>
      </c>
      <c r="AB158" s="150">
        <v>2026</v>
      </c>
      <c r="AC158" s="150">
        <v>2026</v>
      </c>
      <c r="AD158" s="150">
        <v>2026</v>
      </c>
    </row>
    <row r="159" spans="1:31" x14ac:dyDescent="0.3">
      <c r="A159" s="121">
        <v>1</v>
      </c>
      <c r="B159" s="148">
        <f>SUBTOTAL(9,$A$19:A159)</f>
        <v>123</v>
      </c>
      <c r="C159" s="154" t="s">
        <v>274</v>
      </c>
      <c r="D159" s="163" t="s">
        <v>618</v>
      </c>
      <c r="E159" s="144">
        <f t="shared" si="41"/>
        <v>10758171.880000001</v>
      </c>
      <c r="F159" s="153">
        <v>0</v>
      </c>
      <c r="G159" s="153">
        <v>0</v>
      </c>
      <c r="H159" s="153">
        <v>0</v>
      </c>
      <c r="I159" s="153">
        <v>0</v>
      </c>
      <c r="J159" s="153">
        <v>0</v>
      </c>
      <c r="K159" s="153">
        <v>0</v>
      </c>
      <c r="L159" s="173">
        <v>0</v>
      </c>
      <c r="M159" s="153">
        <v>0</v>
      </c>
      <c r="N159" s="176">
        <v>1081.1300000000001</v>
      </c>
      <c r="O159" s="153">
        <f>9784236.69+600000</f>
        <v>10384236.689999999</v>
      </c>
      <c r="P159" s="153">
        <v>0</v>
      </c>
      <c r="Q159" s="153">
        <v>0</v>
      </c>
      <c r="R159" s="153">
        <v>0</v>
      </c>
      <c r="S159" s="153">
        <v>0</v>
      </c>
      <c r="T159" s="160">
        <v>0</v>
      </c>
      <c r="U159" s="160">
        <v>0</v>
      </c>
      <c r="V159" s="160">
        <v>0</v>
      </c>
      <c r="W159" s="160">
        <v>0</v>
      </c>
      <c r="X159" s="160">
        <v>0</v>
      </c>
      <c r="Y159" s="153">
        <v>218171.64</v>
      </c>
      <c r="Z159" s="160">
        <f t="shared" si="42"/>
        <v>155763.54999999999</v>
      </c>
      <c r="AA159" s="160">
        <v>0</v>
      </c>
      <c r="AB159" s="150">
        <v>2026</v>
      </c>
      <c r="AC159" s="150">
        <v>2026</v>
      </c>
      <c r="AD159" s="150">
        <v>2026</v>
      </c>
    </row>
    <row r="160" spans="1:31" s="165" customFormat="1" x14ac:dyDescent="0.3">
      <c r="A160" s="121">
        <v>1</v>
      </c>
      <c r="B160" s="148">
        <f>SUBTOTAL(9,$A$19:A160)</f>
        <v>124</v>
      </c>
      <c r="C160" s="161" t="s">
        <v>662</v>
      </c>
      <c r="D160" s="175" t="s">
        <v>618</v>
      </c>
      <c r="E160" s="153">
        <f t="shared" ref="E160" si="43">F160+G160+H160+I160+J160+K160+M160+O160+Q160+S160+U160+V160+W160+X160+Y160+Z160+AA160</f>
        <v>12753618.59</v>
      </c>
      <c r="F160" s="158">
        <v>0</v>
      </c>
      <c r="G160" s="158">
        <v>0</v>
      </c>
      <c r="H160" s="158">
        <v>0</v>
      </c>
      <c r="I160" s="158">
        <v>0</v>
      </c>
      <c r="J160" s="158">
        <v>0</v>
      </c>
      <c r="K160" s="158">
        <v>0</v>
      </c>
      <c r="L160" s="159">
        <v>0</v>
      </c>
      <c r="M160" s="158">
        <v>0</v>
      </c>
      <c r="N160" s="153">
        <v>1077</v>
      </c>
      <c r="O160" s="153">
        <v>12566070</v>
      </c>
      <c r="P160" s="158">
        <v>0</v>
      </c>
      <c r="Q160" s="158">
        <v>0</v>
      </c>
      <c r="R160" s="158">
        <v>0</v>
      </c>
      <c r="S160" s="158">
        <v>0</v>
      </c>
      <c r="T160" s="158">
        <v>0</v>
      </c>
      <c r="U160" s="158">
        <v>0</v>
      </c>
      <c r="V160" s="158">
        <v>0</v>
      </c>
      <c r="W160" s="158">
        <v>0</v>
      </c>
      <c r="X160" s="158">
        <v>0</v>
      </c>
      <c r="Y160" s="160">
        <v>0</v>
      </c>
      <c r="Z160" s="153">
        <f>ROUND(O160*1.4925%,2)</f>
        <v>187548.59</v>
      </c>
      <c r="AA160" s="158">
        <v>0</v>
      </c>
      <c r="AB160" s="132" t="s">
        <v>425</v>
      </c>
      <c r="AC160" s="132">
        <v>2026</v>
      </c>
      <c r="AD160" s="132">
        <v>2026</v>
      </c>
      <c r="AE160" s="169"/>
    </row>
    <row r="161" spans="1:31" x14ac:dyDescent="0.3">
      <c r="A161" s="121">
        <v>1</v>
      </c>
      <c r="B161" s="148">
        <f>SUBTOTAL(9,$A$19:A161)</f>
        <v>125</v>
      </c>
      <c r="C161" s="154" t="s">
        <v>280</v>
      </c>
      <c r="D161" s="163" t="s">
        <v>618</v>
      </c>
      <c r="E161" s="144">
        <f>F161+G161+H161+I161+J161+K161+M161+O161+Q161+S161+U161+V161+W161+X161+Z161+AA161+Y161</f>
        <v>14069247.33</v>
      </c>
      <c r="F161" s="178">
        <v>0</v>
      </c>
      <c r="G161" s="178">
        <v>0</v>
      </c>
      <c r="H161" s="178">
        <v>0</v>
      </c>
      <c r="I161" s="178">
        <v>0</v>
      </c>
      <c r="J161" s="178">
        <v>0</v>
      </c>
      <c r="K161" s="178">
        <v>0</v>
      </c>
      <c r="L161" s="179">
        <v>0</v>
      </c>
      <c r="M161" s="178">
        <v>0</v>
      </c>
      <c r="N161" s="153">
        <v>1076</v>
      </c>
      <c r="O161" s="153">
        <f>13081065.68+506661.96</f>
        <v>13587727.640000001</v>
      </c>
      <c r="P161" s="178">
        <v>0</v>
      </c>
      <c r="Q161" s="178">
        <v>0</v>
      </c>
      <c r="R161" s="153">
        <v>0</v>
      </c>
      <c r="S161" s="153">
        <v>0</v>
      </c>
      <c r="T161" s="160">
        <v>0</v>
      </c>
      <c r="U161" s="160">
        <v>0</v>
      </c>
      <c r="V161" s="160">
        <v>0</v>
      </c>
      <c r="W161" s="160">
        <v>0</v>
      </c>
      <c r="X161" s="160">
        <v>0</v>
      </c>
      <c r="Y161" s="160">
        <v>277703.78000000003</v>
      </c>
      <c r="Z161" s="160">
        <f>ROUND(O161*1.5%,2)</f>
        <v>203815.91</v>
      </c>
      <c r="AA161" s="160">
        <v>0</v>
      </c>
      <c r="AB161" s="150">
        <v>2026</v>
      </c>
      <c r="AC161" s="150">
        <v>2026</v>
      </c>
      <c r="AD161" s="150">
        <v>2026</v>
      </c>
    </row>
    <row r="162" spans="1:31" s="130" customFormat="1" x14ac:dyDescent="0.3">
      <c r="A162" s="121">
        <v>1</v>
      </c>
      <c r="B162" s="148">
        <f>SUBTOTAL(9,$A$19:A162)</f>
        <v>126</v>
      </c>
      <c r="C162" s="149" t="s">
        <v>600</v>
      </c>
      <c r="D162" s="150" t="s">
        <v>618</v>
      </c>
      <c r="E162" s="153">
        <f t="shared" ref="E162" si="44">F162+G162+H162+I162+J162+K162+M162+O162+Q162+S162+U162+V162+W162+X162+Y162+Z162+AA162</f>
        <v>9372377.9000000004</v>
      </c>
      <c r="F162" s="160">
        <v>0</v>
      </c>
      <c r="G162" s="160">
        <v>0</v>
      </c>
      <c r="H162" s="160">
        <v>0</v>
      </c>
      <c r="I162" s="160">
        <v>0</v>
      </c>
      <c r="J162" s="160">
        <v>0</v>
      </c>
      <c r="K162" s="160">
        <v>0</v>
      </c>
      <c r="L162" s="162">
        <v>0</v>
      </c>
      <c r="M162" s="160">
        <v>0</v>
      </c>
      <c r="N162" s="155">
        <v>1327.4</v>
      </c>
      <c r="O162" s="155">
        <v>9233869.8499999996</v>
      </c>
      <c r="P162" s="160">
        <v>0</v>
      </c>
      <c r="Q162" s="160">
        <v>0</v>
      </c>
      <c r="R162" s="160">
        <v>0</v>
      </c>
      <c r="S162" s="160">
        <v>0</v>
      </c>
      <c r="T162" s="160">
        <v>0</v>
      </c>
      <c r="U162" s="160">
        <v>0</v>
      </c>
      <c r="V162" s="160">
        <v>0</v>
      </c>
      <c r="W162" s="160">
        <v>0</v>
      </c>
      <c r="X162" s="160">
        <v>0</v>
      </c>
      <c r="Y162" s="151">
        <v>0</v>
      </c>
      <c r="Z162" s="160">
        <f>ROUND(O162*1.5%,2)</f>
        <v>138508.04999999999</v>
      </c>
      <c r="AA162" s="160">
        <v>0</v>
      </c>
      <c r="AB162" s="180" t="s">
        <v>425</v>
      </c>
      <c r="AC162" s="180">
        <v>2026</v>
      </c>
      <c r="AD162" s="180">
        <v>2026</v>
      </c>
      <c r="AE162" s="165"/>
    </row>
    <row r="163" spans="1:31" x14ac:dyDescent="0.3">
      <c r="A163" s="121">
        <v>1</v>
      </c>
      <c r="B163" s="148">
        <f>SUBTOTAL(9,$A$19:A171)</f>
        <v>134</v>
      </c>
      <c r="C163" s="154" t="s">
        <v>281</v>
      </c>
      <c r="D163" s="163" t="s">
        <v>618</v>
      </c>
      <c r="E163" s="144">
        <f>F163+G163+H163+I163+J163+K163+M163+O163+Q163+S163+U163+V163+W163+X163+Z163+AA163+Y163</f>
        <v>16558524.530000001</v>
      </c>
      <c r="F163" s="160">
        <v>0</v>
      </c>
      <c r="G163" s="160">
        <v>0</v>
      </c>
      <c r="H163" s="160">
        <v>0</v>
      </c>
      <c r="I163" s="160">
        <v>0</v>
      </c>
      <c r="J163" s="160">
        <v>2129450.73</v>
      </c>
      <c r="K163" s="160">
        <v>0</v>
      </c>
      <c r="L163" s="162">
        <v>0</v>
      </c>
      <c r="M163" s="160">
        <v>0</v>
      </c>
      <c r="N163" s="160">
        <v>849.6</v>
      </c>
      <c r="O163" s="153">
        <v>13845492.109999999</v>
      </c>
      <c r="P163" s="160">
        <v>0</v>
      </c>
      <c r="Q163" s="160">
        <v>0</v>
      </c>
      <c r="R163" s="160">
        <v>0</v>
      </c>
      <c r="S163" s="160">
        <v>0</v>
      </c>
      <c r="T163" s="160">
        <v>0</v>
      </c>
      <c r="U163" s="160">
        <v>0</v>
      </c>
      <c r="V163" s="160">
        <v>0</v>
      </c>
      <c r="W163" s="160">
        <v>0</v>
      </c>
      <c r="X163" s="160">
        <v>0</v>
      </c>
      <c r="Y163" s="160">
        <v>343957.55</v>
      </c>
      <c r="Z163" s="160">
        <f>ROUND(O163*1.5%,2)+ROUND(J163*1.5%,2)</f>
        <v>239624.14</v>
      </c>
      <c r="AA163" s="160">
        <v>0</v>
      </c>
      <c r="AB163" s="150">
        <v>2026</v>
      </c>
      <c r="AC163" s="150">
        <v>2026</v>
      </c>
      <c r="AD163" s="150">
        <v>2026</v>
      </c>
    </row>
    <row r="164" spans="1:31" x14ac:dyDescent="0.3">
      <c r="B164" s="147" t="s">
        <v>695</v>
      </c>
      <c r="C164" s="147"/>
      <c r="D164" s="172"/>
      <c r="E164" s="153">
        <f>SUM(E165:E171)</f>
        <v>53286193.409999996</v>
      </c>
      <c r="F164" s="153">
        <f t="shared" ref="F164:AA164" si="45">SUM(F165:F171)</f>
        <v>314814.01</v>
      </c>
      <c r="G164" s="153">
        <f t="shared" si="45"/>
        <v>0</v>
      </c>
      <c r="H164" s="153">
        <f t="shared" si="45"/>
        <v>0</v>
      </c>
      <c r="I164" s="153">
        <f t="shared" si="45"/>
        <v>423474.69</v>
      </c>
      <c r="J164" s="153">
        <f t="shared" si="45"/>
        <v>0</v>
      </c>
      <c r="K164" s="153">
        <f t="shared" si="45"/>
        <v>0</v>
      </c>
      <c r="L164" s="173">
        <f t="shared" si="45"/>
        <v>0</v>
      </c>
      <c r="M164" s="153">
        <f t="shared" si="45"/>
        <v>0</v>
      </c>
      <c r="N164" s="153">
        <f t="shared" si="45"/>
        <v>3463.3100000000004</v>
      </c>
      <c r="O164" s="153">
        <f t="shared" si="45"/>
        <v>40581516.68</v>
      </c>
      <c r="P164" s="153">
        <f t="shared" si="45"/>
        <v>0</v>
      </c>
      <c r="Q164" s="153">
        <f t="shared" si="45"/>
        <v>0</v>
      </c>
      <c r="R164" s="153">
        <f t="shared" si="45"/>
        <v>763.5</v>
      </c>
      <c r="S164" s="153">
        <f t="shared" si="45"/>
        <v>9437609.3600000013</v>
      </c>
      <c r="T164" s="153">
        <f t="shared" si="45"/>
        <v>0</v>
      </c>
      <c r="U164" s="153">
        <f t="shared" si="45"/>
        <v>0</v>
      </c>
      <c r="V164" s="153">
        <f t="shared" si="45"/>
        <v>0</v>
      </c>
      <c r="W164" s="153">
        <f t="shared" si="45"/>
        <v>0</v>
      </c>
      <c r="X164" s="153">
        <f t="shared" si="45"/>
        <v>0</v>
      </c>
      <c r="Y164" s="153">
        <f t="shared" si="45"/>
        <v>1572860.64</v>
      </c>
      <c r="Z164" s="153">
        <f t="shared" si="45"/>
        <v>785918.02999999991</v>
      </c>
      <c r="AA164" s="153">
        <f t="shared" si="45"/>
        <v>170000</v>
      </c>
      <c r="AB164" s="146" t="s">
        <v>422</v>
      </c>
      <c r="AC164" s="146" t="s">
        <v>422</v>
      </c>
      <c r="AD164" s="146" t="s">
        <v>422</v>
      </c>
    </row>
    <row r="165" spans="1:31" x14ac:dyDescent="0.3">
      <c r="A165" s="121">
        <v>1</v>
      </c>
      <c r="B165" s="148">
        <f>SUBTOTAL(9,$A$19:A165)</f>
        <v>128</v>
      </c>
      <c r="C165" s="154" t="s">
        <v>275</v>
      </c>
      <c r="D165" s="163" t="s">
        <v>618</v>
      </c>
      <c r="E165" s="144">
        <f>F165+G165+H165+I165+J165+K165+M165+O165+Q165+S165+U165+V165+W165+X165+Z165+AA165+Y165</f>
        <v>7380588.1100000003</v>
      </c>
      <c r="F165" s="160">
        <v>0</v>
      </c>
      <c r="G165" s="160">
        <v>0</v>
      </c>
      <c r="H165" s="160">
        <v>0</v>
      </c>
      <c r="I165" s="160">
        <v>0</v>
      </c>
      <c r="J165" s="160">
        <v>0</v>
      </c>
      <c r="K165" s="160">
        <v>0</v>
      </c>
      <c r="L165" s="162">
        <v>0</v>
      </c>
      <c r="M165" s="160">
        <v>0</v>
      </c>
      <c r="N165" s="160">
        <v>581.4</v>
      </c>
      <c r="O165" s="153">
        <v>7065566.0200000005</v>
      </c>
      <c r="P165" s="160">
        <v>0</v>
      </c>
      <c r="Q165" s="160">
        <v>0</v>
      </c>
      <c r="R165" s="160">
        <v>0</v>
      </c>
      <c r="S165" s="160">
        <v>0</v>
      </c>
      <c r="T165" s="160">
        <v>0</v>
      </c>
      <c r="U165" s="160">
        <v>0</v>
      </c>
      <c r="V165" s="160">
        <v>0</v>
      </c>
      <c r="W165" s="160">
        <v>0</v>
      </c>
      <c r="X165" s="160">
        <v>0</v>
      </c>
      <c r="Y165" s="153">
        <v>209038.6</v>
      </c>
      <c r="Z165" s="160">
        <f>ROUND(O165*1.5%,2)</f>
        <v>105983.49</v>
      </c>
      <c r="AA165" s="160">
        <v>0</v>
      </c>
      <c r="AB165" s="150">
        <v>2026</v>
      </c>
      <c r="AC165" s="150">
        <v>2026</v>
      </c>
      <c r="AD165" s="150">
        <v>2026</v>
      </c>
    </row>
    <row r="166" spans="1:31" x14ac:dyDescent="0.3">
      <c r="A166" s="121">
        <v>1</v>
      </c>
      <c r="B166" s="148">
        <f>SUBTOTAL(9,$A$19:A166)</f>
        <v>129</v>
      </c>
      <c r="C166" s="154" t="s">
        <v>627</v>
      </c>
      <c r="D166" s="163" t="s">
        <v>618</v>
      </c>
      <c r="E166" s="144">
        <f>F166+G166+H166+I166+J166+K166+M166+O166+Q166+S166+U166+V166+W166+X166+Z166+AA166+Y166</f>
        <v>7457082.1899999995</v>
      </c>
      <c r="F166" s="160">
        <v>0</v>
      </c>
      <c r="G166" s="160">
        <v>0</v>
      </c>
      <c r="H166" s="160">
        <v>0</v>
      </c>
      <c r="I166" s="160">
        <v>0</v>
      </c>
      <c r="J166" s="160">
        <v>0</v>
      </c>
      <c r="K166" s="160">
        <v>0</v>
      </c>
      <c r="L166" s="162">
        <v>0</v>
      </c>
      <c r="M166" s="160">
        <v>0</v>
      </c>
      <c r="N166" s="160">
        <v>557.5</v>
      </c>
      <c r="O166" s="153">
        <f>6529250.57+571323.02</f>
        <v>7100573.5899999999</v>
      </c>
      <c r="P166" s="160">
        <v>0</v>
      </c>
      <c r="Q166" s="160">
        <v>0</v>
      </c>
      <c r="R166" s="160">
        <v>0</v>
      </c>
      <c r="S166" s="160">
        <v>0</v>
      </c>
      <c r="T166" s="160">
        <v>0</v>
      </c>
      <c r="U166" s="160">
        <v>0</v>
      </c>
      <c r="V166" s="160">
        <v>0</v>
      </c>
      <c r="W166" s="160">
        <v>0</v>
      </c>
      <c r="X166" s="160">
        <v>0</v>
      </c>
      <c r="Y166" s="153">
        <v>250000</v>
      </c>
      <c r="Z166" s="153">
        <f>ROUND(O166*1.5%,2)</f>
        <v>106508.6</v>
      </c>
      <c r="AA166" s="160">
        <v>0</v>
      </c>
      <c r="AB166" s="150">
        <v>2026</v>
      </c>
      <c r="AC166" s="150">
        <v>2026</v>
      </c>
      <c r="AD166" s="150">
        <v>2026</v>
      </c>
    </row>
    <row r="167" spans="1:31" x14ac:dyDescent="0.3">
      <c r="A167" s="121">
        <v>1</v>
      </c>
      <c r="B167" s="148">
        <f>SUBTOTAL(9,$A$19:A167)</f>
        <v>130</v>
      </c>
      <c r="C167" s="154" t="s">
        <v>276</v>
      </c>
      <c r="D167" s="163" t="s">
        <v>618</v>
      </c>
      <c r="E167" s="144">
        <f t="shared" ref="E167:E168" si="46">F167+G167+H167+I167+J167+K167+M167+O167+Q167+S167+U167+V167+W167+X167+Z167+AA167+Y167</f>
        <v>9834855.0000000019</v>
      </c>
      <c r="F167" s="178">
        <v>0</v>
      </c>
      <c r="G167" s="178">
        <v>0</v>
      </c>
      <c r="H167" s="178">
        <v>0</v>
      </c>
      <c r="I167" s="178">
        <v>0</v>
      </c>
      <c r="J167" s="178">
        <v>0</v>
      </c>
      <c r="K167" s="178">
        <v>0</v>
      </c>
      <c r="L167" s="179">
        <v>0</v>
      </c>
      <c r="M167" s="178">
        <v>0</v>
      </c>
      <c r="N167" s="164">
        <v>0</v>
      </c>
      <c r="O167" s="153">
        <v>0</v>
      </c>
      <c r="P167" s="178">
        <v>0</v>
      </c>
      <c r="Q167" s="178">
        <v>0</v>
      </c>
      <c r="R167" s="153">
        <v>763.5</v>
      </c>
      <c r="S167" s="153">
        <v>9437609.3600000013</v>
      </c>
      <c r="T167" s="160">
        <v>0</v>
      </c>
      <c r="U167" s="160">
        <v>0</v>
      </c>
      <c r="V167" s="160">
        <v>0</v>
      </c>
      <c r="W167" s="160">
        <v>0</v>
      </c>
      <c r="X167" s="160">
        <v>0</v>
      </c>
      <c r="Y167" s="153">
        <v>255681.5</v>
      </c>
      <c r="Z167" s="160">
        <f>ROUND(S167*1.5%,2)</f>
        <v>141564.14000000001</v>
      </c>
      <c r="AA167" s="160">
        <v>0</v>
      </c>
      <c r="AB167" s="150">
        <v>2026</v>
      </c>
      <c r="AC167" s="150">
        <v>2026</v>
      </c>
      <c r="AD167" s="150">
        <v>2026</v>
      </c>
    </row>
    <row r="168" spans="1:31" x14ac:dyDescent="0.3">
      <c r="A168" s="121">
        <v>1</v>
      </c>
      <c r="B168" s="148">
        <f>SUBTOTAL(9,$A$19:A168)</f>
        <v>131</v>
      </c>
      <c r="C168" s="154" t="s">
        <v>277</v>
      </c>
      <c r="D168" s="163" t="s">
        <v>618</v>
      </c>
      <c r="E168" s="144">
        <f t="shared" si="46"/>
        <v>12789718.999999998</v>
      </c>
      <c r="F168" s="153">
        <v>0</v>
      </c>
      <c r="G168" s="153">
        <v>0</v>
      </c>
      <c r="H168" s="153">
        <v>0</v>
      </c>
      <c r="I168" s="153">
        <v>0</v>
      </c>
      <c r="J168" s="153">
        <v>0</v>
      </c>
      <c r="K168" s="153">
        <v>0</v>
      </c>
      <c r="L168" s="173">
        <v>0</v>
      </c>
      <c r="M168" s="153">
        <v>0</v>
      </c>
      <c r="N168" s="153">
        <v>1007.5</v>
      </c>
      <c r="O168" s="153">
        <v>12278169.639999999</v>
      </c>
      <c r="P168" s="153">
        <v>0</v>
      </c>
      <c r="Q168" s="153">
        <v>0</v>
      </c>
      <c r="R168" s="153">
        <v>0</v>
      </c>
      <c r="S168" s="153">
        <v>0</v>
      </c>
      <c r="T168" s="160">
        <v>0</v>
      </c>
      <c r="U168" s="160">
        <v>0</v>
      </c>
      <c r="V168" s="160">
        <v>0</v>
      </c>
      <c r="W168" s="160">
        <v>0</v>
      </c>
      <c r="X168" s="160">
        <v>0</v>
      </c>
      <c r="Y168" s="153">
        <v>327376.82</v>
      </c>
      <c r="Z168" s="160">
        <f>ROUND(O168*1.5%,2)</f>
        <v>184172.54</v>
      </c>
      <c r="AA168" s="160">
        <v>0</v>
      </c>
      <c r="AB168" s="150">
        <v>2026</v>
      </c>
      <c r="AC168" s="150">
        <v>2026</v>
      </c>
      <c r="AD168" s="150">
        <v>2026</v>
      </c>
    </row>
    <row r="169" spans="1:31" x14ac:dyDescent="0.3">
      <c r="A169" s="121">
        <v>1</v>
      </c>
      <c r="B169" s="148">
        <f>SUBTOTAL(9,$A$19:A169)</f>
        <v>132</v>
      </c>
      <c r="C169" s="154" t="s">
        <v>278</v>
      </c>
      <c r="D169" s="163" t="s">
        <v>618</v>
      </c>
      <c r="E169" s="144">
        <f>F169+G169+H169+I169+J169+K169+M169+O169+Q169+S169+U169+V169+W169+X169+Z169+AA169+Y169</f>
        <v>10220476.949999999</v>
      </c>
      <c r="F169" s="153">
        <v>0</v>
      </c>
      <c r="G169" s="153">
        <v>0</v>
      </c>
      <c r="H169" s="153">
        <v>0</v>
      </c>
      <c r="I169" s="153">
        <v>0</v>
      </c>
      <c r="J169" s="153">
        <v>0</v>
      </c>
      <c r="K169" s="153">
        <v>0</v>
      </c>
      <c r="L169" s="173">
        <v>0</v>
      </c>
      <c r="M169" s="153">
        <v>0</v>
      </c>
      <c r="N169" s="153">
        <v>805.11</v>
      </c>
      <c r="O169" s="153">
        <v>9872391.0800000001</v>
      </c>
      <c r="P169" s="153">
        <v>0</v>
      </c>
      <c r="Q169" s="153">
        <v>0</v>
      </c>
      <c r="R169" s="153">
        <v>0</v>
      </c>
      <c r="S169" s="153">
        <v>0</v>
      </c>
      <c r="T169" s="160">
        <v>0</v>
      </c>
      <c r="U169" s="160">
        <v>0</v>
      </c>
      <c r="V169" s="160">
        <v>0</v>
      </c>
      <c r="W169" s="160">
        <v>0</v>
      </c>
      <c r="X169" s="160">
        <v>0</v>
      </c>
      <c r="Y169" s="160">
        <v>200000</v>
      </c>
      <c r="Z169" s="160">
        <f>ROUND(O169*1.5%,2)</f>
        <v>148085.87</v>
      </c>
      <c r="AA169" s="160">
        <v>0</v>
      </c>
      <c r="AB169" s="150">
        <v>2026</v>
      </c>
      <c r="AC169" s="150">
        <v>2026</v>
      </c>
      <c r="AD169" s="150">
        <v>2026</v>
      </c>
    </row>
    <row r="170" spans="1:31" s="165" customFormat="1" x14ac:dyDescent="0.3">
      <c r="A170" s="121">
        <v>1</v>
      </c>
      <c r="B170" s="148">
        <f>SUBTOTAL(9,$A$19:A170)</f>
        <v>133</v>
      </c>
      <c r="C170" s="181" t="s">
        <v>601</v>
      </c>
      <c r="D170" s="132" t="s">
        <v>618</v>
      </c>
      <c r="E170" s="153">
        <f t="shared" ref="E170" si="47">F170+G170+H170+I170+J170+K170+M170+O170+Q170+S170+U170+V170+W170+X170+Y170+Z170+AA170</f>
        <v>4754109.129999999</v>
      </c>
      <c r="F170" s="153">
        <v>0</v>
      </c>
      <c r="G170" s="153">
        <v>0</v>
      </c>
      <c r="H170" s="153">
        <v>0</v>
      </c>
      <c r="I170" s="153">
        <v>0</v>
      </c>
      <c r="J170" s="153">
        <v>0</v>
      </c>
      <c r="K170" s="153">
        <v>0</v>
      </c>
      <c r="L170" s="173">
        <v>0</v>
      </c>
      <c r="M170" s="153">
        <v>0</v>
      </c>
      <c r="N170" s="153">
        <v>511.8</v>
      </c>
      <c r="O170" s="153">
        <v>4264816.3499999996</v>
      </c>
      <c r="P170" s="153">
        <v>0</v>
      </c>
      <c r="Q170" s="153">
        <v>0</v>
      </c>
      <c r="R170" s="153">
        <v>0</v>
      </c>
      <c r="S170" s="153">
        <v>0</v>
      </c>
      <c r="T170" s="153">
        <v>0</v>
      </c>
      <c r="U170" s="153">
        <v>0</v>
      </c>
      <c r="V170" s="153">
        <v>0</v>
      </c>
      <c r="W170" s="153">
        <v>0</v>
      </c>
      <c r="X170" s="153">
        <v>0</v>
      </c>
      <c r="Y170" s="153">
        <v>230763.72</v>
      </c>
      <c r="Z170" s="153">
        <f>ROUND(O170*2.0758%,2)</f>
        <v>88529.06</v>
      </c>
      <c r="AA170" s="153">
        <v>170000</v>
      </c>
      <c r="AB170" s="132">
        <v>2026</v>
      </c>
      <c r="AC170" s="180">
        <v>2026</v>
      </c>
      <c r="AD170" s="180">
        <v>2026</v>
      </c>
    </row>
    <row r="171" spans="1:31" x14ac:dyDescent="0.3">
      <c r="A171" s="121">
        <v>1</v>
      </c>
      <c r="B171" s="148">
        <f>SUBTOTAL(9,$A$19:A171)</f>
        <v>134</v>
      </c>
      <c r="C171" s="154" t="s">
        <v>279</v>
      </c>
      <c r="D171" s="163" t="s">
        <v>618</v>
      </c>
      <c r="E171" s="144">
        <f>F171+G171+H171+I171+J171+K171+M171+O171+Q171+S171+U171+V171+W171+X171+Z171+AA171+Y171</f>
        <v>849363.02999999991</v>
      </c>
      <c r="F171" s="153">
        <v>314814.01</v>
      </c>
      <c r="G171" s="153">
        <v>0</v>
      </c>
      <c r="H171" s="153">
        <v>0</v>
      </c>
      <c r="I171" s="153">
        <v>423474.69</v>
      </c>
      <c r="J171" s="153">
        <v>0</v>
      </c>
      <c r="K171" s="153">
        <v>0</v>
      </c>
      <c r="L171" s="173">
        <v>0</v>
      </c>
      <c r="M171" s="153">
        <v>0</v>
      </c>
      <c r="N171" s="153">
        <v>0</v>
      </c>
      <c r="O171" s="153">
        <v>0</v>
      </c>
      <c r="P171" s="153">
        <v>0</v>
      </c>
      <c r="Q171" s="153">
        <v>0</v>
      </c>
      <c r="R171" s="153">
        <v>0</v>
      </c>
      <c r="S171" s="153">
        <v>0</v>
      </c>
      <c r="T171" s="160">
        <v>0</v>
      </c>
      <c r="U171" s="160">
        <v>0</v>
      </c>
      <c r="V171" s="160">
        <v>0</v>
      </c>
      <c r="W171" s="160">
        <v>0</v>
      </c>
      <c r="X171" s="160">
        <v>0</v>
      </c>
      <c r="Y171" s="160">
        <v>100000</v>
      </c>
      <c r="Z171" s="160">
        <f>ROUND(F171*1.5%,2)+ROUND(I171*1.5%,2)</f>
        <v>11074.33</v>
      </c>
      <c r="AA171" s="160">
        <v>0</v>
      </c>
      <c r="AB171" s="150">
        <v>2026</v>
      </c>
      <c r="AC171" s="150">
        <v>2026</v>
      </c>
      <c r="AD171" s="150">
        <v>2026</v>
      </c>
    </row>
    <row r="172" spans="1:31" x14ac:dyDescent="0.3">
      <c r="B172" s="141" t="s">
        <v>688</v>
      </c>
      <c r="C172" s="141"/>
      <c r="D172" s="171"/>
      <c r="E172" s="170">
        <f>E173</f>
        <v>5480018.8700000001</v>
      </c>
      <c r="F172" s="160">
        <f t="shared" ref="F172:AA172" si="48">F173</f>
        <v>0</v>
      </c>
      <c r="G172" s="160">
        <f t="shared" si="48"/>
        <v>0</v>
      </c>
      <c r="H172" s="160">
        <f t="shared" si="48"/>
        <v>0</v>
      </c>
      <c r="I172" s="160">
        <f t="shared" si="48"/>
        <v>0</v>
      </c>
      <c r="J172" s="160">
        <f t="shared" si="48"/>
        <v>0</v>
      </c>
      <c r="K172" s="160">
        <f t="shared" si="48"/>
        <v>0</v>
      </c>
      <c r="L172" s="162">
        <f t="shared" si="48"/>
        <v>0</v>
      </c>
      <c r="M172" s="160">
        <f t="shared" si="48"/>
        <v>0</v>
      </c>
      <c r="N172" s="160">
        <f t="shared" si="48"/>
        <v>437</v>
      </c>
      <c r="O172" s="160">
        <f t="shared" si="48"/>
        <v>5201989.03</v>
      </c>
      <c r="P172" s="160">
        <f t="shared" si="48"/>
        <v>0</v>
      </c>
      <c r="Q172" s="160">
        <f t="shared" si="48"/>
        <v>0</v>
      </c>
      <c r="R172" s="160">
        <f t="shared" si="48"/>
        <v>0</v>
      </c>
      <c r="S172" s="160">
        <f t="shared" si="48"/>
        <v>0</v>
      </c>
      <c r="T172" s="160">
        <f t="shared" si="48"/>
        <v>0</v>
      </c>
      <c r="U172" s="160">
        <f t="shared" si="48"/>
        <v>0</v>
      </c>
      <c r="V172" s="160">
        <f t="shared" si="48"/>
        <v>0</v>
      </c>
      <c r="W172" s="160">
        <f t="shared" si="48"/>
        <v>0</v>
      </c>
      <c r="X172" s="160">
        <f t="shared" si="48"/>
        <v>0</v>
      </c>
      <c r="Y172" s="160">
        <f t="shared" si="48"/>
        <v>200000</v>
      </c>
      <c r="Z172" s="160">
        <f t="shared" si="48"/>
        <v>78029.84</v>
      </c>
      <c r="AA172" s="160">
        <f t="shared" si="48"/>
        <v>0</v>
      </c>
      <c r="AB172" s="146" t="s">
        <v>422</v>
      </c>
      <c r="AC172" s="146" t="s">
        <v>422</v>
      </c>
      <c r="AD172" s="146" t="s">
        <v>422</v>
      </c>
    </row>
    <row r="173" spans="1:31" x14ac:dyDescent="0.3">
      <c r="A173" s="121">
        <v>1</v>
      </c>
      <c r="B173" s="148">
        <f>SUBTOTAL(9,$A$19:A173)</f>
        <v>135</v>
      </c>
      <c r="C173" s="154" t="s">
        <v>223</v>
      </c>
      <c r="D173" s="163" t="s">
        <v>619</v>
      </c>
      <c r="E173" s="153">
        <f>F173+G173+H173+I173+J173+K173+M173+O173+Q173+S173+U173+V173+W173+X173+Y173+Z173+AA173</f>
        <v>5480018.8700000001</v>
      </c>
      <c r="F173" s="160">
        <v>0</v>
      </c>
      <c r="G173" s="160">
        <v>0</v>
      </c>
      <c r="H173" s="160">
        <v>0</v>
      </c>
      <c r="I173" s="160">
        <v>0</v>
      </c>
      <c r="J173" s="160">
        <v>0</v>
      </c>
      <c r="K173" s="160">
        <v>0</v>
      </c>
      <c r="L173" s="162">
        <v>0</v>
      </c>
      <c r="M173" s="160">
        <v>0</v>
      </c>
      <c r="N173" s="164">
        <v>437</v>
      </c>
      <c r="O173" s="182">
        <v>5201989.03</v>
      </c>
      <c r="P173" s="160">
        <v>0</v>
      </c>
      <c r="Q173" s="160">
        <v>0</v>
      </c>
      <c r="R173" s="160">
        <v>0</v>
      </c>
      <c r="S173" s="160">
        <v>0</v>
      </c>
      <c r="T173" s="160">
        <v>0</v>
      </c>
      <c r="U173" s="160">
        <v>0</v>
      </c>
      <c r="V173" s="160">
        <v>0</v>
      </c>
      <c r="W173" s="160">
        <v>0</v>
      </c>
      <c r="X173" s="160">
        <v>0</v>
      </c>
      <c r="Y173" s="182">
        <v>200000</v>
      </c>
      <c r="Z173" s="182">
        <f>ROUND(O173*1.5%,2)</f>
        <v>78029.84</v>
      </c>
      <c r="AA173" s="160">
        <v>0</v>
      </c>
      <c r="AB173" s="150">
        <v>2026</v>
      </c>
      <c r="AC173" s="150">
        <v>2026</v>
      </c>
      <c r="AD173" s="150">
        <v>2026</v>
      </c>
    </row>
    <row r="174" spans="1:31" x14ac:dyDescent="0.3">
      <c r="B174" s="141" t="s">
        <v>241</v>
      </c>
      <c r="C174" s="141"/>
      <c r="D174" s="171"/>
      <c r="E174" s="170">
        <f>SUM(E175:E183)</f>
        <v>62490575.879999995</v>
      </c>
      <c r="F174" s="170">
        <f t="shared" ref="F174:AA174" si="49">SUM(F175:F183)</f>
        <v>0</v>
      </c>
      <c r="G174" s="170">
        <f t="shared" si="49"/>
        <v>0</v>
      </c>
      <c r="H174" s="170">
        <f t="shared" si="49"/>
        <v>0</v>
      </c>
      <c r="I174" s="170">
        <f t="shared" si="49"/>
        <v>0</v>
      </c>
      <c r="J174" s="170">
        <f t="shared" si="49"/>
        <v>7094071.5499999998</v>
      </c>
      <c r="K174" s="170">
        <f t="shared" si="49"/>
        <v>0</v>
      </c>
      <c r="L174" s="179">
        <f t="shared" si="49"/>
        <v>0</v>
      </c>
      <c r="M174" s="170">
        <f t="shared" si="49"/>
        <v>0</v>
      </c>
      <c r="N174" s="170">
        <f t="shared" si="49"/>
        <v>4337.5762589999995</v>
      </c>
      <c r="O174" s="170">
        <f t="shared" si="49"/>
        <v>52771827.770000003</v>
      </c>
      <c r="P174" s="170">
        <f t="shared" si="49"/>
        <v>0</v>
      </c>
      <c r="Q174" s="170">
        <f t="shared" si="49"/>
        <v>0</v>
      </c>
      <c r="R174" s="170">
        <f t="shared" si="49"/>
        <v>0</v>
      </c>
      <c r="S174" s="170">
        <f t="shared" si="49"/>
        <v>0</v>
      </c>
      <c r="T174" s="170">
        <f t="shared" si="49"/>
        <v>0</v>
      </c>
      <c r="U174" s="170">
        <f t="shared" si="49"/>
        <v>0</v>
      </c>
      <c r="V174" s="170">
        <f t="shared" si="49"/>
        <v>0</v>
      </c>
      <c r="W174" s="170">
        <f t="shared" si="49"/>
        <v>0</v>
      </c>
      <c r="X174" s="170">
        <f t="shared" si="49"/>
        <v>0</v>
      </c>
      <c r="Y174" s="170">
        <f t="shared" si="49"/>
        <v>1726688.08</v>
      </c>
      <c r="Z174" s="170">
        <f t="shared" si="49"/>
        <v>897988.48</v>
      </c>
      <c r="AA174" s="170">
        <f t="shared" si="49"/>
        <v>0</v>
      </c>
      <c r="AB174" s="146" t="s">
        <v>422</v>
      </c>
      <c r="AC174" s="146" t="s">
        <v>422</v>
      </c>
      <c r="AD174" s="146" t="s">
        <v>422</v>
      </c>
    </row>
    <row r="175" spans="1:31" x14ac:dyDescent="0.3">
      <c r="A175" s="121">
        <v>1</v>
      </c>
      <c r="B175" s="148">
        <f>SUBTOTAL(9,$A$19:A175)</f>
        <v>136</v>
      </c>
      <c r="C175" s="154" t="s">
        <v>226</v>
      </c>
      <c r="D175" s="163" t="s">
        <v>620</v>
      </c>
      <c r="E175" s="144">
        <f t="shared" ref="E175:E183" si="50">F175+G175+H175+I175+J175+K175+M175+O175+Q175+S175+U175+V175+W175+X175+Z175+AA175+Y175</f>
        <v>7712402.0899999999</v>
      </c>
      <c r="F175" s="160">
        <v>0</v>
      </c>
      <c r="G175" s="160">
        <v>0</v>
      </c>
      <c r="H175" s="160">
        <v>0</v>
      </c>
      <c r="I175" s="160">
        <v>0</v>
      </c>
      <c r="J175" s="160">
        <v>0</v>
      </c>
      <c r="K175" s="160">
        <v>0</v>
      </c>
      <c r="L175" s="162">
        <v>0</v>
      </c>
      <c r="M175" s="160">
        <v>0</v>
      </c>
      <c r="N175" s="182">
        <v>610.4</v>
      </c>
      <c r="O175" s="153">
        <v>7437171.3399999999</v>
      </c>
      <c r="P175" s="160">
        <v>0</v>
      </c>
      <c r="Q175" s="160">
        <v>0</v>
      </c>
      <c r="R175" s="160">
        <v>0</v>
      </c>
      <c r="S175" s="160">
        <v>0</v>
      </c>
      <c r="T175" s="160">
        <v>0</v>
      </c>
      <c r="U175" s="160">
        <v>0</v>
      </c>
      <c r="V175" s="160">
        <v>0</v>
      </c>
      <c r="W175" s="160">
        <v>0</v>
      </c>
      <c r="X175" s="160">
        <v>0</v>
      </c>
      <c r="Y175" s="160">
        <v>163673.18</v>
      </c>
      <c r="Z175" s="160">
        <f t="shared" ref="Z175:Z180" si="51">ROUND(O175*1.5%,2)</f>
        <v>111557.57</v>
      </c>
      <c r="AA175" s="160">
        <v>0</v>
      </c>
      <c r="AB175" s="150">
        <v>2026</v>
      </c>
      <c r="AC175" s="150">
        <v>2026</v>
      </c>
      <c r="AD175" s="150">
        <v>2026</v>
      </c>
    </row>
    <row r="176" spans="1:31" x14ac:dyDescent="0.3">
      <c r="A176" s="121">
        <v>1</v>
      </c>
      <c r="B176" s="148">
        <f>SUBTOTAL(9,$A$19:A176)</f>
        <v>137</v>
      </c>
      <c r="C176" s="154" t="s">
        <v>227</v>
      </c>
      <c r="D176" s="163" t="s">
        <v>620</v>
      </c>
      <c r="E176" s="144">
        <f t="shared" si="50"/>
        <v>4864423.4000000004</v>
      </c>
      <c r="F176" s="160">
        <v>0</v>
      </c>
      <c r="G176" s="160">
        <v>0</v>
      </c>
      <c r="H176" s="160">
        <v>0</v>
      </c>
      <c r="I176" s="160">
        <v>0</v>
      </c>
      <c r="J176" s="160">
        <v>0</v>
      </c>
      <c r="K176" s="160">
        <v>0</v>
      </c>
      <c r="L176" s="162">
        <v>0</v>
      </c>
      <c r="M176" s="160">
        <v>0</v>
      </c>
      <c r="N176" s="182">
        <v>380.95</v>
      </c>
      <c r="O176" s="153">
        <v>4616722.74</v>
      </c>
      <c r="P176" s="160">
        <v>0</v>
      </c>
      <c r="Q176" s="160">
        <v>0</v>
      </c>
      <c r="R176" s="160">
        <v>0</v>
      </c>
      <c r="S176" s="160">
        <v>0</v>
      </c>
      <c r="T176" s="160">
        <v>0</v>
      </c>
      <c r="U176" s="160">
        <v>0</v>
      </c>
      <c r="V176" s="160">
        <v>0</v>
      </c>
      <c r="W176" s="160">
        <v>0</v>
      </c>
      <c r="X176" s="160">
        <v>0</v>
      </c>
      <c r="Y176" s="160">
        <v>178449.82</v>
      </c>
      <c r="Z176" s="160">
        <f t="shared" si="51"/>
        <v>69250.84</v>
      </c>
      <c r="AA176" s="160">
        <v>0</v>
      </c>
      <c r="AB176" s="150">
        <v>2026</v>
      </c>
      <c r="AC176" s="150">
        <v>2026</v>
      </c>
      <c r="AD176" s="150">
        <v>2026</v>
      </c>
    </row>
    <row r="177" spans="1:30" x14ac:dyDescent="0.3">
      <c r="A177" s="121">
        <v>1</v>
      </c>
      <c r="B177" s="148">
        <f>SUBTOTAL(9,$A$19:A177)</f>
        <v>138</v>
      </c>
      <c r="C177" s="154" t="s">
        <v>228</v>
      </c>
      <c r="D177" s="163" t="s">
        <v>620</v>
      </c>
      <c r="E177" s="144">
        <f t="shared" si="50"/>
        <v>4043407.75</v>
      </c>
      <c r="F177" s="160">
        <v>0</v>
      </c>
      <c r="G177" s="160">
        <v>0</v>
      </c>
      <c r="H177" s="160">
        <v>0</v>
      </c>
      <c r="I177" s="160">
        <v>0</v>
      </c>
      <c r="J177" s="160">
        <v>0</v>
      </c>
      <c r="K177" s="160">
        <v>0</v>
      </c>
      <c r="L177" s="162">
        <v>0</v>
      </c>
      <c r="M177" s="160">
        <v>0</v>
      </c>
      <c r="N177" s="182">
        <v>317.33625899999998</v>
      </c>
      <c r="O177" s="153">
        <v>3821111.64</v>
      </c>
      <c r="P177" s="160">
        <v>0</v>
      </c>
      <c r="Q177" s="160">
        <v>0</v>
      </c>
      <c r="R177" s="160">
        <v>0</v>
      </c>
      <c r="S177" s="160">
        <v>0</v>
      </c>
      <c r="T177" s="160">
        <v>0</v>
      </c>
      <c r="U177" s="160">
        <v>0</v>
      </c>
      <c r="V177" s="160">
        <v>0</v>
      </c>
      <c r="W177" s="160">
        <v>0</v>
      </c>
      <c r="X177" s="160">
        <v>0</v>
      </c>
      <c r="Y177" s="160">
        <v>164979.44</v>
      </c>
      <c r="Z177" s="160">
        <f t="shared" si="51"/>
        <v>57316.67</v>
      </c>
      <c r="AA177" s="160">
        <v>0</v>
      </c>
      <c r="AB177" s="150">
        <v>2026</v>
      </c>
      <c r="AC177" s="150">
        <v>2026</v>
      </c>
      <c r="AD177" s="150">
        <v>2026</v>
      </c>
    </row>
    <row r="178" spans="1:30" x14ac:dyDescent="0.3">
      <c r="A178" s="121">
        <v>1</v>
      </c>
      <c r="B178" s="148">
        <f>SUBTOTAL(9,$A$19:A178)</f>
        <v>139</v>
      </c>
      <c r="C178" s="154" t="s">
        <v>229</v>
      </c>
      <c r="D178" s="163" t="s">
        <v>620</v>
      </c>
      <c r="E178" s="144">
        <f t="shared" si="50"/>
        <v>6518643.0799999991</v>
      </c>
      <c r="F178" s="160">
        <v>0</v>
      </c>
      <c r="G178" s="160">
        <v>0</v>
      </c>
      <c r="H178" s="160">
        <v>0</v>
      </c>
      <c r="I178" s="160">
        <v>0</v>
      </c>
      <c r="J178" s="160">
        <v>0</v>
      </c>
      <c r="K178" s="160">
        <v>0</v>
      </c>
      <c r="L178" s="162">
        <v>0</v>
      </c>
      <c r="M178" s="160">
        <v>0</v>
      </c>
      <c r="N178" s="182">
        <v>515.28</v>
      </c>
      <c r="O178" s="153">
        <v>6247514.3899999997</v>
      </c>
      <c r="P178" s="160">
        <v>0</v>
      </c>
      <c r="Q178" s="160">
        <v>0</v>
      </c>
      <c r="R178" s="160">
        <v>0</v>
      </c>
      <c r="S178" s="160">
        <v>0</v>
      </c>
      <c r="T178" s="160">
        <v>0</v>
      </c>
      <c r="U178" s="160">
        <v>0</v>
      </c>
      <c r="V178" s="160">
        <v>0</v>
      </c>
      <c r="W178" s="160">
        <v>0</v>
      </c>
      <c r="X178" s="160">
        <v>0</v>
      </c>
      <c r="Y178" s="160">
        <v>177415.97</v>
      </c>
      <c r="Z178" s="160">
        <f t="shared" si="51"/>
        <v>93712.72</v>
      </c>
      <c r="AA178" s="160">
        <v>0</v>
      </c>
      <c r="AB178" s="150">
        <v>2026</v>
      </c>
      <c r="AC178" s="150">
        <v>2026</v>
      </c>
      <c r="AD178" s="150">
        <v>2026</v>
      </c>
    </row>
    <row r="179" spans="1:30" x14ac:dyDescent="0.3">
      <c r="A179" s="121">
        <v>1</v>
      </c>
      <c r="B179" s="148">
        <f>SUBTOTAL(9,$A$19:A179)</f>
        <v>140</v>
      </c>
      <c r="C179" s="154" t="s">
        <v>230</v>
      </c>
      <c r="D179" s="163" t="s">
        <v>620</v>
      </c>
      <c r="E179" s="144">
        <f t="shared" si="50"/>
        <v>4061218.0700000003</v>
      </c>
      <c r="F179" s="160">
        <v>0</v>
      </c>
      <c r="G179" s="160">
        <v>0</v>
      </c>
      <c r="H179" s="160">
        <v>0</v>
      </c>
      <c r="I179" s="160">
        <v>0</v>
      </c>
      <c r="J179" s="160">
        <v>0</v>
      </c>
      <c r="K179" s="160">
        <v>0</v>
      </c>
      <c r="L179" s="162">
        <v>0</v>
      </c>
      <c r="M179" s="160">
        <v>0</v>
      </c>
      <c r="N179" s="182">
        <v>318.89999999999998</v>
      </c>
      <c r="O179" s="153">
        <v>3840669.2</v>
      </c>
      <c r="P179" s="160">
        <v>0</v>
      </c>
      <c r="Q179" s="160">
        <v>0</v>
      </c>
      <c r="R179" s="160">
        <v>0</v>
      </c>
      <c r="S179" s="160">
        <v>0</v>
      </c>
      <c r="T179" s="160">
        <v>0</v>
      </c>
      <c r="U179" s="160">
        <v>0</v>
      </c>
      <c r="V179" s="160">
        <v>0</v>
      </c>
      <c r="W179" s="160">
        <v>0</v>
      </c>
      <c r="X179" s="160">
        <v>0</v>
      </c>
      <c r="Y179" s="160">
        <v>162938.82999999999</v>
      </c>
      <c r="Z179" s="160">
        <f t="shared" si="51"/>
        <v>57610.04</v>
      </c>
      <c r="AA179" s="160">
        <v>0</v>
      </c>
      <c r="AB179" s="150">
        <v>2026</v>
      </c>
      <c r="AC179" s="150">
        <v>2026</v>
      </c>
      <c r="AD179" s="150">
        <v>2026</v>
      </c>
    </row>
    <row r="180" spans="1:30" x14ac:dyDescent="0.3">
      <c r="A180" s="121">
        <v>1</v>
      </c>
      <c r="B180" s="148">
        <f>SUBTOTAL(9,$A$19:A180)</f>
        <v>141</v>
      </c>
      <c r="C180" s="154" t="s">
        <v>231</v>
      </c>
      <c r="D180" s="163" t="s">
        <v>620</v>
      </c>
      <c r="E180" s="144">
        <f t="shared" si="50"/>
        <v>9367053.3000000007</v>
      </c>
      <c r="F180" s="160">
        <v>0</v>
      </c>
      <c r="G180" s="160">
        <v>0</v>
      </c>
      <c r="H180" s="160">
        <v>0</v>
      </c>
      <c r="I180" s="160">
        <v>0</v>
      </c>
      <c r="J180" s="160">
        <v>0</v>
      </c>
      <c r="K180" s="160">
        <v>0</v>
      </c>
      <c r="L180" s="162">
        <v>0</v>
      </c>
      <c r="M180" s="160">
        <v>0</v>
      </c>
      <c r="N180" s="182">
        <v>737.43</v>
      </c>
      <c r="O180" s="153">
        <v>9025923.6500000004</v>
      </c>
      <c r="P180" s="160">
        <v>0</v>
      </c>
      <c r="Q180" s="160">
        <v>0</v>
      </c>
      <c r="R180" s="160">
        <v>0</v>
      </c>
      <c r="S180" s="160">
        <v>0</v>
      </c>
      <c r="T180" s="160">
        <v>0</v>
      </c>
      <c r="U180" s="160">
        <v>0</v>
      </c>
      <c r="V180" s="160">
        <v>0</v>
      </c>
      <c r="W180" s="160">
        <v>0</v>
      </c>
      <c r="X180" s="160">
        <v>0</v>
      </c>
      <c r="Y180" s="160">
        <v>205740.79999999999</v>
      </c>
      <c r="Z180" s="160">
        <f t="shared" si="51"/>
        <v>135388.85</v>
      </c>
      <c r="AA180" s="160">
        <v>0</v>
      </c>
      <c r="AB180" s="150">
        <v>2026</v>
      </c>
      <c r="AC180" s="150">
        <v>2026</v>
      </c>
      <c r="AD180" s="150">
        <v>2026</v>
      </c>
    </row>
    <row r="181" spans="1:30" x14ac:dyDescent="0.3">
      <c r="A181" s="121">
        <v>1</v>
      </c>
      <c r="B181" s="148">
        <f>SUBTOTAL(9,$A$19:A181)</f>
        <v>142</v>
      </c>
      <c r="C181" s="154" t="s">
        <v>586</v>
      </c>
      <c r="D181" s="163" t="s">
        <v>620</v>
      </c>
      <c r="E181" s="144">
        <f t="shared" si="50"/>
        <v>7452578.6799999997</v>
      </c>
      <c r="F181" s="160">
        <v>0</v>
      </c>
      <c r="G181" s="160">
        <v>0</v>
      </c>
      <c r="H181" s="160">
        <v>0</v>
      </c>
      <c r="I181" s="160">
        <v>0</v>
      </c>
      <c r="J181" s="160">
        <f>7321544.06-227472.51</f>
        <v>7094071.5499999998</v>
      </c>
      <c r="K181" s="160">
        <v>0</v>
      </c>
      <c r="L181" s="162">
        <v>0</v>
      </c>
      <c r="M181" s="160">
        <v>0</v>
      </c>
      <c r="N181" s="182">
        <v>0</v>
      </c>
      <c r="O181" s="182">
        <v>0</v>
      </c>
      <c r="P181" s="182">
        <v>0</v>
      </c>
      <c r="Q181" s="182">
        <v>0</v>
      </c>
      <c r="R181" s="182">
        <v>0</v>
      </c>
      <c r="S181" s="182">
        <v>0</v>
      </c>
      <c r="T181" s="182">
        <v>0</v>
      </c>
      <c r="U181" s="182">
        <v>0</v>
      </c>
      <c r="V181" s="182">
        <v>0</v>
      </c>
      <c r="W181" s="182">
        <v>0</v>
      </c>
      <c r="X181" s="182">
        <v>0</v>
      </c>
      <c r="Y181" s="182">
        <v>252096.06</v>
      </c>
      <c r="Z181" s="182">
        <f>ROUND(J181*1.5%,2)</f>
        <v>106411.07</v>
      </c>
      <c r="AA181" s="182">
        <v>0</v>
      </c>
      <c r="AB181" s="150">
        <v>2026</v>
      </c>
      <c r="AC181" s="150">
        <v>2026</v>
      </c>
      <c r="AD181" s="150">
        <v>2026</v>
      </c>
    </row>
    <row r="182" spans="1:30" x14ac:dyDescent="0.3">
      <c r="A182" s="121">
        <v>1</v>
      </c>
      <c r="B182" s="148">
        <f>SUBTOTAL(9,$A$19:A182)</f>
        <v>143</v>
      </c>
      <c r="C182" s="154" t="s">
        <v>587</v>
      </c>
      <c r="D182" s="163" t="s">
        <v>620</v>
      </c>
      <c r="E182" s="144">
        <f t="shared" si="50"/>
        <v>8409942.5600000005</v>
      </c>
      <c r="F182" s="160">
        <v>0</v>
      </c>
      <c r="G182" s="160">
        <v>0</v>
      </c>
      <c r="H182" s="160">
        <v>0</v>
      </c>
      <c r="I182" s="160">
        <v>0</v>
      </c>
      <c r="J182" s="160">
        <v>0</v>
      </c>
      <c r="K182" s="160">
        <v>0</v>
      </c>
      <c r="L182" s="162">
        <v>0</v>
      </c>
      <c r="M182" s="160">
        <v>0</v>
      </c>
      <c r="N182" s="182">
        <v>664.74</v>
      </c>
      <c r="O182" s="182">
        <v>8116796.6299999999</v>
      </c>
      <c r="P182" s="182">
        <v>0</v>
      </c>
      <c r="Q182" s="182">
        <v>0</v>
      </c>
      <c r="R182" s="182">
        <v>0</v>
      </c>
      <c r="S182" s="182">
        <v>0</v>
      </c>
      <c r="T182" s="182">
        <v>0</v>
      </c>
      <c r="U182" s="182">
        <v>0</v>
      </c>
      <c r="V182" s="182">
        <v>0</v>
      </c>
      <c r="W182" s="182">
        <v>0</v>
      </c>
      <c r="X182" s="182">
        <v>0</v>
      </c>
      <c r="Y182" s="182">
        <v>171393.98</v>
      </c>
      <c r="Z182" s="182">
        <f>ROUND(O182*1.5%,2)</f>
        <v>121751.95</v>
      </c>
      <c r="AA182" s="182">
        <v>0</v>
      </c>
      <c r="AB182" s="150">
        <v>2026</v>
      </c>
      <c r="AC182" s="150">
        <v>2026</v>
      </c>
      <c r="AD182" s="150">
        <v>2026</v>
      </c>
    </row>
    <row r="183" spans="1:30" x14ac:dyDescent="0.3">
      <c r="A183" s="121">
        <v>1</v>
      </c>
      <c r="B183" s="148">
        <f>SUBTOTAL(9,$A$19:A183)</f>
        <v>144</v>
      </c>
      <c r="C183" s="154" t="s">
        <v>713</v>
      </c>
      <c r="D183" s="163"/>
      <c r="E183" s="144">
        <f t="shared" si="50"/>
        <v>10060906.949999999</v>
      </c>
      <c r="F183" s="160">
        <v>0</v>
      </c>
      <c r="G183" s="160">
        <v>0</v>
      </c>
      <c r="H183" s="160">
        <v>0</v>
      </c>
      <c r="I183" s="160">
        <v>0</v>
      </c>
      <c r="J183" s="160">
        <v>0</v>
      </c>
      <c r="K183" s="160">
        <v>0</v>
      </c>
      <c r="L183" s="162">
        <v>0</v>
      </c>
      <c r="M183" s="160">
        <v>0</v>
      </c>
      <c r="N183" s="182">
        <v>792.54</v>
      </c>
      <c r="O183" s="182">
        <v>9665918.1799999997</v>
      </c>
      <c r="P183" s="182">
        <v>0</v>
      </c>
      <c r="Q183" s="182">
        <v>0</v>
      </c>
      <c r="R183" s="182">
        <v>0</v>
      </c>
      <c r="S183" s="182">
        <v>0</v>
      </c>
      <c r="T183" s="182">
        <v>0</v>
      </c>
      <c r="U183" s="182">
        <v>0</v>
      </c>
      <c r="V183" s="182">
        <v>0</v>
      </c>
      <c r="W183" s="182">
        <v>0</v>
      </c>
      <c r="X183" s="182">
        <v>0</v>
      </c>
      <c r="Y183" s="182">
        <v>250000</v>
      </c>
      <c r="Z183" s="182">
        <f>ROUND(O183*1.5%,2)</f>
        <v>144988.76999999999</v>
      </c>
      <c r="AA183" s="182">
        <v>0</v>
      </c>
      <c r="AB183" s="150">
        <v>2026</v>
      </c>
      <c r="AC183" s="150">
        <v>2026</v>
      </c>
      <c r="AD183" s="150">
        <v>2026</v>
      </c>
    </row>
    <row r="184" spans="1:30" x14ac:dyDescent="0.3">
      <c r="B184" s="141" t="s">
        <v>668</v>
      </c>
      <c r="C184" s="141"/>
      <c r="D184" s="171"/>
      <c r="E184" s="170">
        <f>E185+E186+E187+E188+E189</f>
        <v>35034746.390000001</v>
      </c>
      <c r="F184" s="170">
        <f t="shared" ref="F184:AA184" si="52">F185+F186+F187+F188+F189</f>
        <v>0</v>
      </c>
      <c r="G184" s="170">
        <f t="shared" si="52"/>
        <v>0</v>
      </c>
      <c r="H184" s="170">
        <f t="shared" si="52"/>
        <v>0</v>
      </c>
      <c r="I184" s="170">
        <f t="shared" si="52"/>
        <v>0</v>
      </c>
      <c r="J184" s="170">
        <f t="shared" si="52"/>
        <v>0</v>
      </c>
      <c r="K184" s="170">
        <f t="shared" si="52"/>
        <v>0</v>
      </c>
      <c r="L184" s="162">
        <f t="shared" si="52"/>
        <v>0</v>
      </c>
      <c r="M184" s="170">
        <f t="shared" si="52"/>
        <v>0</v>
      </c>
      <c r="N184" s="170">
        <f t="shared" si="52"/>
        <v>2434.6</v>
      </c>
      <c r="O184" s="170">
        <f t="shared" si="52"/>
        <v>29998770.509999998</v>
      </c>
      <c r="P184" s="170">
        <f t="shared" si="52"/>
        <v>0</v>
      </c>
      <c r="Q184" s="170">
        <f t="shared" si="52"/>
        <v>0</v>
      </c>
      <c r="R184" s="170">
        <f t="shared" si="52"/>
        <v>490</v>
      </c>
      <c r="S184" s="170">
        <f t="shared" si="52"/>
        <v>3816715.36</v>
      </c>
      <c r="T184" s="170">
        <f t="shared" si="52"/>
        <v>0</v>
      </c>
      <c r="U184" s="170">
        <f t="shared" si="52"/>
        <v>0</v>
      </c>
      <c r="V184" s="170">
        <f t="shared" si="52"/>
        <v>0</v>
      </c>
      <c r="W184" s="170">
        <f t="shared" si="52"/>
        <v>0</v>
      </c>
      <c r="X184" s="170">
        <f t="shared" si="52"/>
        <v>0</v>
      </c>
      <c r="Y184" s="170">
        <f t="shared" si="52"/>
        <v>542028.24</v>
      </c>
      <c r="Z184" s="170">
        <f t="shared" si="52"/>
        <v>507232.28</v>
      </c>
      <c r="AA184" s="170">
        <f t="shared" si="52"/>
        <v>170000</v>
      </c>
      <c r="AB184" s="146" t="s">
        <v>422</v>
      </c>
      <c r="AC184" s="146" t="s">
        <v>422</v>
      </c>
      <c r="AD184" s="146" t="s">
        <v>422</v>
      </c>
    </row>
    <row r="185" spans="1:30" s="165" customFormat="1" x14ac:dyDescent="0.3">
      <c r="A185" s="121">
        <v>1</v>
      </c>
      <c r="B185" s="148">
        <f>SUBTOTAL(9,$A$19:A185)</f>
        <v>145</v>
      </c>
      <c r="C185" s="161" t="s">
        <v>606</v>
      </c>
      <c r="D185" s="175" t="s">
        <v>621</v>
      </c>
      <c r="E185" s="153">
        <f t="shared" ref="E185" si="53">F185+G185+H185+I185+J185+K185+M185+O185+Q185+S185+U185+V185+W185+X185+Y185+Z185+AA185</f>
        <v>4043966.09</v>
      </c>
      <c r="F185" s="158">
        <v>0</v>
      </c>
      <c r="G185" s="158">
        <v>0</v>
      </c>
      <c r="H185" s="158">
        <v>0</v>
      </c>
      <c r="I185" s="158">
        <v>0</v>
      </c>
      <c r="J185" s="158">
        <v>0</v>
      </c>
      <c r="K185" s="158">
        <v>0</v>
      </c>
      <c r="L185" s="159">
        <v>0</v>
      </c>
      <c r="M185" s="158">
        <v>0</v>
      </c>
      <c r="N185" s="153">
        <v>0</v>
      </c>
      <c r="O185" s="153">
        <v>0</v>
      </c>
      <c r="P185" s="158">
        <v>0</v>
      </c>
      <c r="Q185" s="158">
        <v>0</v>
      </c>
      <c r="R185" s="151">
        <v>490</v>
      </c>
      <c r="S185" s="153">
        <v>3816715.36</v>
      </c>
      <c r="T185" s="158">
        <v>0</v>
      </c>
      <c r="U185" s="158">
        <v>0</v>
      </c>
      <c r="V185" s="158">
        <v>0</v>
      </c>
      <c r="W185" s="158">
        <v>0</v>
      </c>
      <c r="X185" s="158">
        <v>0</v>
      </c>
      <c r="Y185" s="153">
        <v>0</v>
      </c>
      <c r="Z185" s="153">
        <f>ROUND(S185*1.5%,2)</f>
        <v>57250.73</v>
      </c>
      <c r="AA185" s="158">
        <v>170000</v>
      </c>
      <c r="AB185" s="132" t="s">
        <v>425</v>
      </c>
      <c r="AC185" s="132">
        <v>2026</v>
      </c>
      <c r="AD185" s="132">
        <v>2026</v>
      </c>
    </row>
    <row r="186" spans="1:30" x14ac:dyDescent="0.3">
      <c r="A186" s="121">
        <v>1</v>
      </c>
      <c r="B186" s="148">
        <f>SUBTOTAL(9,$A$19:A186)</f>
        <v>146</v>
      </c>
      <c r="C186" s="154" t="s">
        <v>243</v>
      </c>
      <c r="D186" s="163" t="s">
        <v>621</v>
      </c>
      <c r="E186" s="144">
        <f>F186+G186+H186+I186+J186+K186+M186+O186+Q186+S186+U186+V186+W186+X186+Z186+AA186+Y186</f>
        <v>8756400.9700000007</v>
      </c>
      <c r="F186" s="160">
        <v>0</v>
      </c>
      <c r="G186" s="160">
        <v>0</v>
      </c>
      <c r="H186" s="160">
        <v>0</v>
      </c>
      <c r="I186" s="160">
        <v>0</v>
      </c>
      <c r="J186" s="160">
        <v>0</v>
      </c>
      <c r="K186" s="160">
        <v>0</v>
      </c>
      <c r="L186" s="162">
        <v>0</v>
      </c>
      <c r="M186" s="160">
        <v>0</v>
      </c>
      <c r="N186" s="176">
        <v>643.6</v>
      </c>
      <c r="O186" s="153">
        <v>8459643.6300000008</v>
      </c>
      <c r="P186" s="160">
        <v>0</v>
      </c>
      <c r="Q186" s="160">
        <v>0</v>
      </c>
      <c r="R186" s="160">
        <v>0</v>
      </c>
      <c r="S186" s="160">
        <v>0</v>
      </c>
      <c r="T186" s="160">
        <v>0</v>
      </c>
      <c r="U186" s="160">
        <v>0</v>
      </c>
      <c r="V186" s="160">
        <v>0</v>
      </c>
      <c r="W186" s="160">
        <v>0</v>
      </c>
      <c r="X186" s="160">
        <v>0</v>
      </c>
      <c r="Y186" s="160">
        <v>169862.69</v>
      </c>
      <c r="Z186" s="160">
        <f>ROUND(O186*1.5%,2)</f>
        <v>126894.65</v>
      </c>
      <c r="AA186" s="160">
        <v>0</v>
      </c>
      <c r="AB186" s="150">
        <v>2026</v>
      </c>
      <c r="AC186" s="150">
        <v>2026</v>
      </c>
      <c r="AD186" s="150">
        <v>2026</v>
      </c>
    </row>
    <row r="187" spans="1:30" x14ac:dyDescent="0.3">
      <c r="A187" s="121">
        <v>1</v>
      </c>
      <c r="B187" s="148">
        <f>SUBTOTAL(9,$A$19:A187)</f>
        <v>147</v>
      </c>
      <c r="C187" s="154" t="s">
        <v>244</v>
      </c>
      <c r="D187" s="163" t="s">
        <v>621</v>
      </c>
      <c r="E187" s="144">
        <f t="shared" ref="E187" si="54">F187+G187+H187+I187+J187+K187+M187+O187+Q187+S187+U187+V187+W187+X187+Z187+AA187+Y187</f>
        <v>9357004.4399999995</v>
      </c>
      <c r="F187" s="160">
        <v>0</v>
      </c>
      <c r="G187" s="160">
        <v>0</v>
      </c>
      <c r="H187" s="160">
        <v>0</v>
      </c>
      <c r="I187" s="160">
        <v>0</v>
      </c>
      <c r="J187" s="160">
        <v>0</v>
      </c>
      <c r="K187" s="160">
        <v>0</v>
      </c>
      <c r="L187" s="162">
        <v>0</v>
      </c>
      <c r="M187" s="160">
        <v>0</v>
      </c>
      <c r="N187" s="176">
        <v>762.5</v>
      </c>
      <c r="O187" s="153">
        <f>7864950.45+1179742.57</f>
        <v>9044693.0199999996</v>
      </c>
      <c r="P187" s="160">
        <v>0</v>
      </c>
      <c r="Q187" s="160">
        <v>0</v>
      </c>
      <c r="R187" s="160">
        <v>0</v>
      </c>
      <c r="S187" s="160">
        <v>0</v>
      </c>
      <c r="T187" s="160">
        <v>0</v>
      </c>
      <c r="U187" s="160">
        <v>0</v>
      </c>
      <c r="V187" s="160">
        <v>0</v>
      </c>
      <c r="W187" s="160">
        <v>0</v>
      </c>
      <c r="X187" s="160">
        <v>0</v>
      </c>
      <c r="Y187" s="160">
        <v>176641.02</v>
      </c>
      <c r="Z187" s="160">
        <f t="shared" ref="Z187" si="55">ROUND(O187*1.5%,2)</f>
        <v>135670.39999999999</v>
      </c>
      <c r="AA187" s="160">
        <v>0</v>
      </c>
      <c r="AB187" s="150">
        <v>2026</v>
      </c>
      <c r="AC187" s="150">
        <v>2026</v>
      </c>
      <c r="AD187" s="150">
        <v>2026</v>
      </c>
    </row>
    <row r="188" spans="1:30" x14ac:dyDescent="0.3">
      <c r="A188" s="121">
        <v>1</v>
      </c>
      <c r="B188" s="148">
        <f>SUBTOTAL(9,$A$19:A188)</f>
        <v>148</v>
      </c>
      <c r="C188" s="154" t="s">
        <v>245</v>
      </c>
      <c r="D188" s="163" t="s">
        <v>621</v>
      </c>
      <c r="E188" s="144">
        <f>F188+G188+H188+I188+J188+K188+M188+O188+Q188+S188+U188+V188+W188+X188+Z188+AA188+Y188</f>
        <v>8400688.3300000001</v>
      </c>
      <c r="F188" s="160">
        <v>0</v>
      </c>
      <c r="G188" s="160">
        <v>0</v>
      </c>
      <c r="H188" s="160">
        <v>0</v>
      </c>
      <c r="I188" s="160">
        <v>0</v>
      </c>
      <c r="J188" s="160">
        <v>0</v>
      </c>
      <c r="K188" s="160">
        <v>0</v>
      </c>
      <c r="L188" s="162">
        <v>0</v>
      </c>
      <c r="M188" s="160">
        <v>0</v>
      </c>
      <c r="N188" s="153">
        <v>675.5</v>
      </c>
      <c r="O188" s="153">
        <v>8276540.2300000004</v>
      </c>
      <c r="P188" s="160">
        <v>0</v>
      </c>
      <c r="Q188" s="160">
        <v>0</v>
      </c>
      <c r="R188" s="160">
        <v>0</v>
      </c>
      <c r="S188" s="160">
        <v>0</v>
      </c>
      <c r="T188" s="160">
        <v>0</v>
      </c>
      <c r="U188" s="160">
        <v>0</v>
      </c>
      <c r="V188" s="160">
        <v>0</v>
      </c>
      <c r="W188" s="160">
        <v>0</v>
      </c>
      <c r="X188" s="160">
        <v>0</v>
      </c>
      <c r="Y188" s="160">
        <v>0</v>
      </c>
      <c r="Z188" s="160">
        <f>ROUND(O188*1.5%,2)</f>
        <v>124148.1</v>
      </c>
      <c r="AA188" s="160">
        <v>0</v>
      </c>
      <c r="AB188" s="146" t="s">
        <v>425</v>
      </c>
      <c r="AC188" s="150">
        <v>2026</v>
      </c>
      <c r="AD188" s="150">
        <v>2026</v>
      </c>
    </row>
    <row r="189" spans="1:30" x14ac:dyDescent="0.3">
      <c r="A189" s="121">
        <v>1</v>
      </c>
      <c r="B189" s="148">
        <f>SUBTOTAL(9,$A$19:A189)</f>
        <v>149</v>
      </c>
      <c r="C189" s="154" t="s">
        <v>666</v>
      </c>
      <c r="D189" s="163" t="s">
        <v>621</v>
      </c>
      <c r="E189" s="153">
        <f t="shared" ref="E189" si="56">F189+G189+H189+I189+J189+K189+M189+O189+Q189+S189+U189+V189+W189+X189+Y189+Z189+AA189</f>
        <v>4476686.5600000005</v>
      </c>
      <c r="F189" s="160">
        <v>0</v>
      </c>
      <c r="G189" s="160">
        <v>0</v>
      </c>
      <c r="H189" s="160">
        <v>0</v>
      </c>
      <c r="I189" s="160">
        <v>0</v>
      </c>
      <c r="J189" s="160">
        <v>0</v>
      </c>
      <c r="K189" s="160">
        <v>0</v>
      </c>
      <c r="L189" s="162">
        <v>0</v>
      </c>
      <c r="M189" s="160">
        <v>0</v>
      </c>
      <c r="N189" s="153">
        <v>353</v>
      </c>
      <c r="O189" s="153">
        <v>4217893.63</v>
      </c>
      <c r="P189" s="160">
        <v>0</v>
      </c>
      <c r="Q189" s="160">
        <v>0</v>
      </c>
      <c r="R189" s="160">
        <v>0</v>
      </c>
      <c r="S189" s="160">
        <v>0</v>
      </c>
      <c r="T189" s="160">
        <v>0</v>
      </c>
      <c r="U189" s="160">
        <v>0</v>
      </c>
      <c r="V189" s="160">
        <v>0</v>
      </c>
      <c r="W189" s="160">
        <v>0</v>
      </c>
      <c r="X189" s="160">
        <v>0</v>
      </c>
      <c r="Y189" s="160">
        <v>195524.53</v>
      </c>
      <c r="Z189" s="160">
        <f>ROUND(O189*1.5%,2)</f>
        <v>63268.4</v>
      </c>
      <c r="AA189" s="160">
        <v>0</v>
      </c>
      <c r="AB189" s="150">
        <v>2026</v>
      </c>
      <c r="AC189" s="150">
        <v>2026</v>
      </c>
      <c r="AD189" s="150">
        <v>2026</v>
      </c>
    </row>
    <row r="190" spans="1:30" x14ac:dyDescent="0.3">
      <c r="B190" s="141" t="s">
        <v>263</v>
      </c>
      <c r="C190" s="141"/>
      <c r="D190" s="171"/>
      <c r="E190" s="170">
        <f>E191</f>
        <v>8075852.6499999994</v>
      </c>
      <c r="F190" s="160">
        <f t="shared" ref="F190:AA190" si="57">F191</f>
        <v>0</v>
      </c>
      <c r="G190" s="160">
        <f t="shared" si="57"/>
        <v>0</v>
      </c>
      <c r="H190" s="160">
        <f t="shared" si="57"/>
        <v>0</v>
      </c>
      <c r="I190" s="160">
        <f t="shared" si="57"/>
        <v>0</v>
      </c>
      <c r="J190" s="160">
        <f t="shared" si="57"/>
        <v>0</v>
      </c>
      <c r="K190" s="160">
        <f t="shared" si="57"/>
        <v>0</v>
      </c>
      <c r="L190" s="162">
        <f t="shared" si="57"/>
        <v>0</v>
      </c>
      <c r="M190" s="160">
        <f t="shared" si="57"/>
        <v>0</v>
      </c>
      <c r="N190" s="160">
        <f t="shared" si="57"/>
        <v>821.35</v>
      </c>
      <c r="O190" s="160">
        <f t="shared" si="57"/>
        <v>7812868.6699999999</v>
      </c>
      <c r="P190" s="160">
        <f t="shared" si="57"/>
        <v>0</v>
      </c>
      <c r="Q190" s="160">
        <f t="shared" si="57"/>
        <v>0</v>
      </c>
      <c r="R190" s="160">
        <f t="shared" si="57"/>
        <v>0</v>
      </c>
      <c r="S190" s="160">
        <f t="shared" si="57"/>
        <v>0</v>
      </c>
      <c r="T190" s="160">
        <f t="shared" si="57"/>
        <v>0</v>
      </c>
      <c r="U190" s="160">
        <f t="shared" si="57"/>
        <v>0</v>
      </c>
      <c r="V190" s="160">
        <f t="shared" si="57"/>
        <v>0</v>
      </c>
      <c r="W190" s="160">
        <f t="shared" si="57"/>
        <v>0</v>
      </c>
      <c r="X190" s="160">
        <f t="shared" si="57"/>
        <v>0</v>
      </c>
      <c r="Y190" s="160">
        <f t="shared" si="57"/>
        <v>196019.88</v>
      </c>
      <c r="Z190" s="160">
        <f t="shared" si="57"/>
        <v>66964.100000000006</v>
      </c>
      <c r="AA190" s="160">
        <f t="shared" si="57"/>
        <v>0</v>
      </c>
      <c r="AB190" s="146" t="s">
        <v>422</v>
      </c>
      <c r="AC190" s="146" t="s">
        <v>422</v>
      </c>
      <c r="AD190" s="146" t="s">
        <v>422</v>
      </c>
    </row>
    <row r="191" spans="1:30" ht="17.25" customHeight="1" x14ac:dyDescent="0.3">
      <c r="A191" s="121">
        <v>1</v>
      </c>
      <c r="B191" s="148">
        <f>SUBTOTAL(9,$A$19:A191)</f>
        <v>150</v>
      </c>
      <c r="C191" s="154" t="s">
        <v>256</v>
      </c>
      <c r="D191" s="163" t="s">
        <v>622</v>
      </c>
      <c r="E191" s="144">
        <f>F191+G191+H191+I191+J191+K191+M191+O191+Q191+S191+U191+V191+W191+X191+Z191+AA191+Y191</f>
        <v>8075852.6499999994</v>
      </c>
      <c r="F191" s="160">
        <v>0</v>
      </c>
      <c r="G191" s="160">
        <v>0</v>
      </c>
      <c r="H191" s="160">
        <v>0</v>
      </c>
      <c r="I191" s="160">
        <v>0</v>
      </c>
      <c r="J191" s="160">
        <v>0</v>
      </c>
      <c r="K191" s="160">
        <v>0</v>
      </c>
      <c r="L191" s="162">
        <v>0</v>
      </c>
      <c r="M191" s="160">
        <v>0</v>
      </c>
      <c r="N191" s="153">
        <v>821.35</v>
      </c>
      <c r="O191" s="153">
        <v>7812868.6699999999</v>
      </c>
      <c r="P191" s="160">
        <v>0</v>
      </c>
      <c r="Q191" s="160">
        <v>0</v>
      </c>
      <c r="R191" s="160">
        <v>0</v>
      </c>
      <c r="S191" s="160">
        <v>0</v>
      </c>
      <c r="T191" s="160">
        <v>0</v>
      </c>
      <c r="U191" s="160">
        <v>0</v>
      </c>
      <c r="V191" s="160">
        <v>0</v>
      </c>
      <c r="W191" s="160">
        <v>0</v>
      </c>
      <c r="X191" s="160">
        <v>0</v>
      </c>
      <c r="Y191" s="160">
        <v>196019.88</v>
      </c>
      <c r="Z191" s="160">
        <v>66964.100000000006</v>
      </c>
      <c r="AA191" s="160">
        <v>0</v>
      </c>
      <c r="AB191" s="150">
        <v>2026</v>
      </c>
      <c r="AC191" s="150">
        <v>2026</v>
      </c>
      <c r="AD191" s="150">
        <v>2026</v>
      </c>
    </row>
    <row r="192" spans="1:30" x14ac:dyDescent="0.3">
      <c r="B192" s="141" t="s">
        <v>264</v>
      </c>
      <c r="C192" s="141"/>
      <c r="D192" s="171"/>
      <c r="E192" s="170">
        <f>E193+E194+E195</f>
        <v>8962475.1999999993</v>
      </c>
      <c r="F192" s="160">
        <f t="shared" ref="F192:AA192" si="58">F193+F194+F195</f>
        <v>0</v>
      </c>
      <c r="G192" s="160">
        <f t="shared" si="58"/>
        <v>0</v>
      </c>
      <c r="H192" s="160">
        <f t="shared" si="58"/>
        <v>0</v>
      </c>
      <c r="I192" s="160">
        <f t="shared" si="58"/>
        <v>0</v>
      </c>
      <c r="J192" s="160">
        <f t="shared" si="58"/>
        <v>0</v>
      </c>
      <c r="K192" s="160">
        <f t="shared" si="58"/>
        <v>0</v>
      </c>
      <c r="L192" s="162">
        <f t="shared" si="58"/>
        <v>0</v>
      </c>
      <c r="M192" s="160">
        <f t="shared" si="58"/>
        <v>0</v>
      </c>
      <c r="N192" s="160">
        <f t="shared" si="58"/>
        <v>819.3</v>
      </c>
      <c r="O192" s="160">
        <f t="shared" si="58"/>
        <v>8273786.370000001</v>
      </c>
      <c r="P192" s="160">
        <f t="shared" si="58"/>
        <v>0</v>
      </c>
      <c r="Q192" s="160">
        <f t="shared" si="58"/>
        <v>0</v>
      </c>
      <c r="R192" s="160">
        <f t="shared" si="58"/>
        <v>0</v>
      </c>
      <c r="S192" s="160">
        <f t="shared" si="58"/>
        <v>0</v>
      </c>
      <c r="T192" s="160">
        <f t="shared" si="58"/>
        <v>0</v>
      </c>
      <c r="U192" s="160">
        <f t="shared" si="58"/>
        <v>0</v>
      </c>
      <c r="V192" s="160">
        <f t="shared" si="58"/>
        <v>0</v>
      </c>
      <c r="W192" s="160">
        <f t="shared" si="58"/>
        <v>0</v>
      </c>
      <c r="X192" s="160">
        <f t="shared" si="58"/>
        <v>0</v>
      </c>
      <c r="Y192" s="160">
        <f t="shared" si="58"/>
        <v>204582.04</v>
      </c>
      <c r="Z192" s="160">
        <f t="shared" si="58"/>
        <v>124106.79000000001</v>
      </c>
      <c r="AA192" s="160">
        <f t="shared" si="58"/>
        <v>360000</v>
      </c>
      <c r="AB192" s="146" t="s">
        <v>422</v>
      </c>
      <c r="AC192" s="146" t="s">
        <v>422</v>
      </c>
      <c r="AD192" s="146" t="s">
        <v>422</v>
      </c>
    </row>
    <row r="193" spans="1:31" x14ac:dyDescent="0.3">
      <c r="A193" s="121">
        <v>1</v>
      </c>
      <c r="B193" s="148">
        <f>SUBTOTAL(9,$A$19:A193)</f>
        <v>151</v>
      </c>
      <c r="C193" s="154" t="s">
        <v>412</v>
      </c>
      <c r="D193" s="163" t="s">
        <v>622</v>
      </c>
      <c r="E193" s="153">
        <f t="shared" ref="E193:E195" si="59">F193+G193+H193+I193+J193+K193+M193+O193+Q193+S193+U193+V193+W193+X193+Y193+Z193+AA193</f>
        <v>2281545</v>
      </c>
      <c r="F193" s="160">
        <v>0</v>
      </c>
      <c r="G193" s="160">
        <v>0</v>
      </c>
      <c r="H193" s="160">
        <v>0</v>
      </c>
      <c r="I193" s="160">
        <v>0</v>
      </c>
      <c r="J193" s="160">
        <v>0</v>
      </c>
      <c r="K193" s="160">
        <v>0</v>
      </c>
      <c r="L193" s="162">
        <v>0</v>
      </c>
      <c r="M193" s="160">
        <v>0</v>
      </c>
      <c r="N193" s="153">
        <v>181</v>
      </c>
      <c r="O193" s="153">
        <v>1928042.33</v>
      </c>
      <c r="P193" s="160">
        <v>0</v>
      </c>
      <c r="Q193" s="160">
        <v>0</v>
      </c>
      <c r="R193" s="160">
        <v>0</v>
      </c>
      <c r="S193" s="160">
        <v>0</v>
      </c>
      <c r="T193" s="160">
        <v>0</v>
      </c>
      <c r="U193" s="160">
        <v>0</v>
      </c>
      <c r="V193" s="160">
        <v>0</v>
      </c>
      <c r="W193" s="160">
        <v>0</v>
      </c>
      <c r="X193" s="160">
        <v>0</v>
      </c>
      <c r="Y193" s="153">
        <v>204582.04</v>
      </c>
      <c r="Z193" s="153">
        <f>ROUND(O193*1.5%,2)</f>
        <v>28920.63</v>
      </c>
      <c r="AA193" s="160">
        <v>120000</v>
      </c>
      <c r="AB193" s="150">
        <v>2026</v>
      </c>
      <c r="AC193" s="150">
        <v>2026</v>
      </c>
      <c r="AD193" s="150">
        <v>2026</v>
      </c>
    </row>
    <row r="194" spans="1:31" s="165" customFormat="1" x14ac:dyDescent="0.3">
      <c r="A194" s="121">
        <v>1</v>
      </c>
      <c r="B194" s="148">
        <f>SUBTOTAL(9,$A$19:A194)</f>
        <v>152</v>
      </c>
      <c r="C194" s="161" t="s">
        <v>659</v>
      </c>
      <c r="D194" s="163" t="s">
        <v>622</v>
      </c>
      <c r="E194" s="153">
        <f t="shared" si="59"/>
        <v>2600226.16</v>
      </c>
      <c r="F194" s="158">
        <v>0</v>
      </c>
      <c r="G194" s="158">
        <v>0</v>
      </c>
      <c r="H194" s="158">
        <v>0</v>
      </c>
      <c r="I194" s="158">
        <v>0</v>
      </c>
      <c r="J194" s="158">
        <v>0</v>
      </c>
      <c r="K194" s="158">
        <v>0</v>
      </c>
      <c r="L194" s="159">
        <v>0</v>
      </c>
      <c r="M194" s="158">
        <v>0</v>
      </c>
      <c r="N194" s="144">
        <v>248</v>
      </c>
      <c r="O194" s="158">
        <f>2194086.58+249485.99</f>
        <v>2443572.5700000003</v>
      </c>
      <c r="P194" s="144">
        <v>0</v>
      </c>
      <c r="Q194" s="158">
        <v>0</v>
      </c>
      <c r="R194" s="144">
        <v>0</v>
      </c>
      <c r="S194" s="158">
        <v>0</v>
      </c>
      <c r="T194" s="144">
        <v>0</v>
      </c>
      <c r="U194" s="158">
        <v>0</v>
      </c>
      <c r="V194" s="144">
        <v>0</v>
      </c>
      <c r="W194" s="158">
        <v>0</v>
      </c>
      <c r="X194" s="158">
        <v>0</v>
      </c>
      <c r="Y194" s="153">
        <v>0</v>
      </c>
      <c r="Z194" s="155">
        <f>ROUND(O194*1.5%,2)</f>
        <v>36653.589999999997</v>
      </c>
      <c r="AA194" s="158">
        <v>120000</v>
      </c>
      <c r="AB194" s="132" t="s">
        <v>425</v>
      </c>
      <c r="AC194" s="180">
        <v>2026</v>
      </c>
      <c r="AD194" s="180">
        <v>2026</v>
      </c>
      <c r="AE194" s="169"/>
    </row>
    <row r="195" spans="1:31" s="165" customFormat="1" x14ac:dyDescent="0.3">
      <c r="A195" s="121">
        <v>1</v>
      </c>
      <c r="B195" s="148">
        <f>SUBTOTAL(9,$A$19:A195)</f>
        <v>153</v>
      </c>
      <c r="C195" s="161" t="s">
        <v>660</v>
      </c>
      <c r="D195" s="175" t="s">
        <v>622</v>
      </c>
      <c r="E195" s="153">
        <f t="shared" si="59"/>
        <v>4080704.04</v>
      </c>
      <c r="F195" s="158">
        <v>0</v>
      </c>
      <c r="G195" s="158">
        <v>0</v>
      </c>
      <c r="H195" s="158">
        <v>0</v>
      </c>
      <c r="I195" s="158">
        <v>0</v>
      </c>
      <c r="J195" s="158">
        <v>0</v>
      </c>
      <c r="K195" s="158">
        <v>0</v>
      </c>
      <c r="L195" s="159">
        <v>0</v>
      </c>
      <c r="M195" s="158">
        <v>0</v>
      </c>
      <c r="N195" s="164">
        <v>390.3</v>
      </c>
      <c r="O195" s="153">
        <v>3902171.47</v>
      </c>
      <c r="P195" s="158">
        <v>0</v>
      </c>
      <c r="Q195" s="158">
        <v>0</v>
      </c>
      <c r="R195" s="153">
        <v>0</v>
      </c>
      <c r="S195" s="153">
        <v>0</v>
      </c>
      <c r="T195" s="158">
        <v>0</v>
      </c>
      <c r="U195" s="158">
        <v>0</v>
      </c>
      <c r="V195" s="158">
        <v>0</v>
      </c>
      <c r="W195" s="158">
        <v>0</v>
      </c>
      <c r="X195" s="158">
        <v>0</v>
      </c>
      <c r="Y195" s="153">
        <v>0</v>
      </c>
      <c r="Z195" s="153">
        <f>ROUND(O195*1.5%,2)</f>
        <v>58532.57</v>
      </c>
      <c r="AA195" s="158">
        <v>120000</v>
      </c>
      <c r="AB195" s="132" t="s">
        <v>425</v>
      </c>
      <c r="AC195" s="180">
        <v>2026</v>
      </c>
      <c r="AD195" s="180">
        <v>2026</v>
      </c>
      <c r="AE195" s="169"/>
    </row>
    <row r="196" spans="1:31" x14ac:dyDescent="0.3">
      <c r="B196" s="141" t="s">
        <v>693</v>
      </c>
      <c r="C196" s="141"/>
      <c r="D196" s="171"/>
      <c r="E196" s="170">
        <f>SUM(E197:E198)</f>
        <v>22647005.84</v>
      </c>
      <c r="F196" s="160">
        <f t="shared" ref="F196:AA196" si="60">SUM(F197:F198)</f>
        <v>0</v>
      </c>
      <c r="G196" s="160">
        <f t="shared" si="60"/>
        <v>0</v>
      </c>
      <c r="H196" s="160">
        <f t="shared" si="60"/>
        <v>0</v>
      </c>
      <c r="I196" s="160">
        <f t="shared" si="60"/>
        <v>0</v>
      </c>
      <c r="J196" s="160">
        <f t="shared" si="60"/>
        <v>0</v>
      </c>
      <c r="K196" s="160">
        <f t="shared" si="60"/>
        <v>0</v>
      </c>
      <c r="L196" s="162">
        <f t="shared" si="60"/>
        <v>0</v>
      </c>
      <c r="M196" s="160">
        <f t="shared" si="60"/>
        <v>0</v>
      </c>
      <c r="N196" s="160">
        <f t="shared" si="60"/>
        <v>1784</v>
      </c>
      <c r="O196" s="160">
        <f t="shared" si="60"/>
        <v>22115276.689999998</v>
      </c>
      <c r="P196" s="160">
        <f t="shared" si="60"/>
        <v>0</v>
      </c>
      <c r="Q196" s="160">
        <f t="shared" si="60"/>
        <v>0</v>
      </c>
      <c r="R196" s="160">
        <f t="shared" si="60"/>
        <v>0</v>
      </c>
      <c r="S196" s="160">
        <f t="shared" si="60"/>
        <v>0</v>
      </c>
      <c r="T196" s="160">
        <f t="shared" si="60"/>
        <v>0</v>
      </c>
      <c r="U196" s="160">
        <f t="shared" si="60"/>
        <v>0</v>
      </c>
      <c r="V196" s="160">
        <f t="shared" si="60"/>
        <v>0</v>
      </c>
      <c r="W196" s="160">
        <f t="shared" si="60"/>
        <v>0</v>
      </c>
      <c r="X196" s="160">
        <f t="shared" si="60"/>
        <v>0</v>
      </c>
      <c r="Y196" s="160">
        <f t="shared" si="60"/>
        <v>200000</v>
      </c>
      <c r="Z196" s="160">
        <f t="shared" si="60"/>
        <v>331729.15000000002</v>
      </c>
      <c r="AA196" s="160">
        <f t="shared" si="60"/>
        <v>0</v>
      </c>
      <c r="AB196" s="146" t="s">
        <v>422</v>
      </c>
      <c r="AC196" s="146" t="s">
        <v>422</v>
      </c>
      <c r="AD196" s="146" t="s">
        <v>422</v>
      </c>
    </row>
    <row r="197" spans="1:31" x14ac:dyDescent="0.3">
      <c r="A197" s="121">
        <v>1</v>
      </c>
      <c r="B197" s="148">
        <f>SUBTOTAL(9,$A$19:A197)</f>
        <v>154</v>
      </c>
      <c r="C197" s="154" t="s">
        <v>268</v>
      </c>
      <c r="D197" s="163" t="s">
        <v>623</v>
      </c>
      <c r="E197" s="144">
        <f>F197+G197+H197+I197+J197+K197+M197+O197+Q197+S197+U197+V197+W197+X197+Z197+AA197+Y197</f>
        <v>14725631.6</v>
      </c>
      <c r="F197" s="160">
        <v>0</v>
      </c>
      <c r="G197" s="160">
        <v>0</v>
      </c>
      <c r="H197" s="160">
        <v>0</v>
      </c>
      <c r="I197" s="160">
        <v>0</v>
      </c>
      <c r="J197" s="160">
        <v>0</v>
      </c>
      <c r="K197" s="160">
        <v>0</v>
      </c>
      <c r="L197" s="162">
        <v>0</v>
      </c>
      <c r="M197" s="160">
        <v>0</v>
      </c>
      <c r="N197" s="164">
        <v>1160</v>
      </c>
      <c r="O197" s="153">
        <v>14310967.09</v>
      </c>
      <c r="P197" s="160">
        <v>0</v>
      </c>
      <c r="Q197" s="160">
        <v>0</v>
      </c>
      <c r="R197" s="160">
        <v>0</v>
      </c>
      <c r="S197" s="160">
        <v>0</v>
      </c>
      <c r="T197" s="160">
        <v>0</v>
      </c>
      <c r="U197" s="160">
        <v>0</v>
      </c>
      <c r="V197" s="160">
        <v>0</v>
      </c>
      <c r="W197" s="160">
        <v>0</v>
      </c>
      <c r="X197" s="160">
        <v>0</v>
      </c>
      <c r="Y197" s="160">
        <v>200000</v>
      </c>
      <c r="Z197" s="160">
        <f>ROUND(O197*1.5%,2)</f>
        <v>214664.51</v>
      </c>
      <c r="AA197" s="160">
        <v>0</v>
      </c>
      <c r="AB197" s="150">
        <v>2026</v>
      </c>
      <c r="AC197" s="150">
        <v>2026</v>
      </c>
      <c r="AD197" s="150">
        <v>2026</v>
      </c>
    </row>
    <row r="198" spans="1:31" x14ac:dyDescent="0.3">
      <c r="A198" s="121">
        <v>1</v>
      </c>
      <c r="B198" s="148">
        <f>SUBTOTAL(9,$A$19:A198)</f>
        <v>155</v>
      </c>
      <c r="C198" s="154" t="s">
        <v>269</v>
      </c>
      <c r="D198" s="163" t="s">
        <v>623</v>
      </c>
      <c r="E198" s="144">
        <f>F198+G198+H198+I198+J198+K198+M198+O198+Q198+S198+U198+V198+W198+X198+Z198+AA198+Y198</f>
        <v>7921374.2399999993</v>
      </c>
      <c r="F198" s="160">
        <v>0</v>
      </c>
      <c r="G198" s="160">
        <v>0</v>
      </c>
      <c r="H198" s="160">
        <v>0</v>
      </c>
      <c r="I198" s="160">
        <v>0</v>
      </c>
      <c r="J198" s="160">
        <v>0</v>
      </c>
      <c r="K198" s="160">
        <v>0</v>
      </c>
      <c r="L198" s="162">
        <v>0</v>
      </c>
      <c r="M198" s="160">
        <v>0</v>
      </c>
      <c r="N198" s="144">
        <v>624</v>
      </c>
      <c r="O198" s="153">
        <v>7804309.5999999996</v>
      </c>
      <c r="P198" s="160">
        <v>0</v>
      </c>
      <c r="Q198" s="160">
        <v>0</v>
      </c>
      <c r="R198" s="160">
        <v>0</v>
      </c>
      <c r="S198" s="160">
        <v>0</v>
      </c>
      <c r="T198" s="160">
        <v>0</v>
      </c>
      <c r="U198" s="160">
        <v>0</v>
      </c>
      <c r="V198" s="160">
        <v>0</v>
      </c>
      <c r="W198" s="160">
        <v>0</v>
      </c>
      <c r="X198" s="160">
        <v>0</v>
      </c>
      <c r="Y198" s="160">
        <v>0</v>
      </c>
      <c r="Z198" s="160">
        <f>ROUND(O198*1.5%,2)</f>
        <v>117064.64</v>
      </c>
      <c r="AA198" s="160">
        <v>0</v>
      </c>
      <c r="AB198" s="146" t="s">
        <v>425</v>
      </c>
      <c r="AC198" s="150">
        <v>2026</v>
      </c>
      <c r="AD198" s="150">
        <v>2026</v>
      </c>
    </row>
    <row r="199" spans="1:31" x14ac:dyDescent="0.3">
      <c r="B199" s="141" t="s">
        <v>516</v>
      </c>
      <c r="C199" s="142"/>
      <c r="D199" s="143"/>
      <c r="E199" s="144">
        <f>E200+E240+E247+E266+E280+E283+E299+E304+E306+E308+E310+E312+E316+E321+E323+E330+E334+E337+E340+E343+E347+E349+E354+E360+E365+E363</f>
        <v>1645427321.2400002</v>
      </c>
      <c r="F199" s="144">
        <f t="shared" ref="F199:AA199" si="61">F200+F240+F247+F266+F280+F283+F299+F304+F306+F308+F310+F312+F316+F321+F323+F330+F334+F337+F340+F343+F347+F349+F354+F360+F365+F363</f>
        <v>7050685.2400000002</v>
      </c>
      <c r="G199" s="144">
        <f t="shared" si="61"/>
        <v>11300857.640000001</v>
      </c>
      <c r="H199" s="144">
        <f t="shared" si="61"/>
        <v>6918818.4199999999</v>
      </c>
      <c r="I199" s="144">
        <f t="shared" si="61"/>
        <v>10680513.560000001</v>
      </c>
      <c r="J199" s="144">
        <f t="shared" si="61"/>
        <v>29864285.66</v>
      </c>
      <c r="K199" s="144">
        <f t="shared" si="61"/>
        <v>0</v>
      </c>
      <c r="L199" s="145">
        <f t="shared" si="61"/>
        <v>32</v>
      </c>
      <c r="M199" s="144">
        <f t="shared" si="61"/>
        <v>125863206.89</v>
      </c>
      <c r="N199" s="144">
        <f t="shared" si="61"/>
        <v>107863.27499999998</v>
      </c>
      <c r="O199" s="144">
        <f t="shared" si="61"/>
        <v>1323508275.0700002</v>
      </c>
      <c r="P199" s="144">
        <f t="shared" si="61"/>
        <v>0</v>
      </c>
      <c r="Q199" s="144">
        <f t="shared" si="61"/>
        <v>0</v>
      </c>
      <c r="R199" s="144">
        <f t="shared" si="61"/>
        <v>6127.06</v>
      </c>
      <c r="S199" s="144">
        <f t="shared" si="61"/>
        <v>66257476.819999993</v>
      </c>
      <c r="T199" s="144">
        <f t="shared" si="61"/>
        <v>185</v>
      </c>
      <c r="U199" s="144">
        <f t="shared" si="61"/>
        <v>4050125.07</v>
      </c>
      <c r="V199" s="144">
        <f t="shared" si="61"/>
        <v>0</v>
      </c>
      <c r="W199" s="144">
        <f t="shared" si="61"/>
        <v>0</v>
      </c>
      <c r="X199" s="144">
        <f t="shared" si="61"/>
        <v>1832114.13</v>
      </c>
      <c r="Y199" s="144">
        <f t="shared" si="61"/>
        <v>32875485.149999999</v>
      </c>
      <c r="Z199" s="144">
        <f t="shared" si="61"/>
        <v>25225477.590000004</v>
      </c>
      <c r="AA199" s="144">
        <f t="shared" si="61"/>
        <v>0</v>
      </c>
      <c r="AB199" s="146" t="s">
        <v>422</v>
      </c>
      <c r="AC199" s="146" t="s">
        <v>422</v>
      </c>
      <c r="AD199" s="146" t="s">
        <v>422</v>
      </c>
    </row>
    <row r="200" spans="1:31" x14ac:dyDescent="0.3">
      <c r="B200" s="141" t="s">
        <v>413</v>
      </c>
      <c r="C200" s="142"/>
      <c r="D200" s="143"/>
      <c r="E200" s="144">
        <f>SUM(E201:E239)</f>
        <v>362437177.59000009</v>
      </c>
      <c r="F200" s="144">
        <f t="shared" ref="F200:AA200" si="62">SUM(F201:F239)</f>
        <v>0</v>
      </c>
      <c r="G200" s="144">
        <f t="shared" si="62"/>
        <v>0</v>
      </c>
      <c r="H200" s="144">
        <f t="shared" si="62"/>
        <v>0</v>
      </c>
      <c r="I200" s="144">
        <f t="shared" si="62"/>
        <v>1496098.91</v>
      </c>
      <c r="J200" s="144">
        <f t="shared" si="62"/>
        <v>18879320.16</v>
      </c>
      <c r="K200" s="144">
        <f t="shared" si="62"/>
        <v>0</v>
      </c>
      <c r="L200" s="145">
        <f t="shared" si="62"/>
        <v>10</v>
      </c>
      <c r="M200" s="144">
        <f t="shared" si="62"/>
        <v>38860725.459999993</v>
      </c>
      <c r="N200" s="144">
        <f t="shared" si="62"/>
        <v>21128.36</v>
      </c>
      <c r="O200" s="144">
        <f t="shared" si="62"/>
        <v>254352436.08000001</v>
      </c>
      <c r="P200" s="144">
        <f t="shared" si="62"/>
        <v>0</v>
      </c>
      <c r="Q200" s="144">
        <f t="shared" si="62"/>
        <v>0</v>
      </c>
      <c r="R200" s="144">
        <f t="shared" si="62"/>
        <v>3169.3</v>
      </c>
      <c r="S200" s="144">
        <f t="shared" si="62"/>
        <v>33406790.509999998</v>
      </c>
      <c r="T200" s="144">
        <f t="shared" si="62"/>
        <v>0</v>
      </c>
      <c r="U200" s="144">
        <f t="shared" si="62"/>
        <v>0</v>
      </c>
      <c r="V200" s="144">
        <f t="shared" si="62"/>
        <v>0</v>
      </c>
      <c r="W200" s="144">
        <f t="shared" si="62"/>
        <v>0</v>
      </c>
      <c r="X200" s="144">
        <f t="shared" si="62"/>
        <v>0</v>
      </c>
      <c r="Y200" s="144">
        <f t="shared" si="62"/>
        <v>8821293.6899999995</v>
      </c>
      <c r="Z200" s="144">
        <f t="shared" si="62"/>
        <v>6620512.7799999975</v>
      </c>
      <c r="AA200" s="144">
        <f t="shared" si="62"/>
        <v>0</v>
      </c>
      <c r="AB200" s="146" t="s">
        <v>422</v>
      </c>
      <c r="AC200" s="146" t="s">
        <v>422</v>
      </c>
      <c r="AD200" s="146" t="s">
        <v>422</v>
      </c>
    </row>
    <row r="201" spans="1:31" x14ac:dyDescent="0.25">
      <c r="A201" s="121">
        <v>1</v>
      </c>
      <c r="B201" s="148">
        <f>SUBTOTAL(9,$A$201:A201)</f>
        <v>1</v>
      </c>
      <c r="C201" s="149" t="s">
        <v>58</v>
      </c>
      <c r="D201" s="150" t="s">
        <v>113</v>
      </c>
      <c r="E201" s="144">
        <f t="shared" ref="E201:E233" si="63">F201+G201+H201+I201+J201+K201+M201+O201+Q201+S201+U201+V201+W201+X201+Y201+Z201+AA201</f>
        <v>12959114.83</v>
      </c>
      <c r="F201" s="151">
        <v>0</v>
      </c>
      <c r="G201" s="151">
        <v>0</v>
      </c>
      <c r="H201" s="151">
        <v>0</v>
      </c>
      <c r="I201" s="151">
        <v>0</v>
      </c>
      <c r="J201" s="151">
        <v>0</v>
      </c>
      <c r="K201" s="151">
        <v>0</v>
      </c>
      <c r="L201" s="152">
        <v>0</v>
      </c>
      <c r="M201" s="151">
        <v>0</v>
      </c>
      <c r="N201" s="144">
        <v>0</v>
      </c>
      <c r="O201" s="144">
        <v>0</v>
      </c>
      <c r="P201" s="151">
        <v>0</v>
      </c>
      <c r="Q201" s="151">
        <v>0</v>
      </c>
      <c r="R201" s="155">
        <v>1129.3</v>
      </c>
      <c r="S201" s="155">
        <v>12491790.51</v>
      </c>
      <c r="T201" s="151">
        <v>0</v>
      </c>
      <c r="U201" s="151">
        <v>0</v>
      </c>
      <c r="V201" s="151">
        <v>0</v>
      </c>
      <c r="W201" s="151">
        <v>0</v>
      </c>
      <c r="X201" s="151">
        <v>0</v>
      </c>
      <c r="Y201" s="155">
        <v>200000</v>
      </c>
      <c r="Z201" s="155">
        <v>267324.32</v>
      </c>
      <c r="AA201" s="151">
        <v>0</v>
      </c>
      <c r="AB201" s="150">
        <v>2027</v>
      </c>
      <c r="AC201" s="150">
        <v>2027</v>
      </c>
      <c r="AD201" s="150">
        <v>2027</v>
      </c>
    </row>
    <row r="202" spans="1:31" x14ac:dyDescent="0.25">
      <c r="A202" s="121">
        <v>1</v>
      </c>
      <c r="B202" s="148">
        <f>SUBTOTAL(9,$A$201:A202)</f>
        <v>2</v>
      </c>
      <c r="C202" s="149" t="s">
        <v>59</v>
      </c>
      <c r="D202" s="150" t="s">
        <v>113</v>
      </c>
      <c r="E202" s="144">
        <f t="shared" si="63"/>
        <v>23706706.25</v>
      </c>
      <c r="F202" s="151">
        <v>0</v>
      </c>
      <c r="G202" s="151">
        <v>0</v>
      </c>
      <c r="H202" s="151">
        <v>0</v>
      </c>
      <c r="I202" s="151">
        <v>0</v>
      </c>
      <c r="J202" s="151">
        <v>0</v>
      </c>
      <c r="K202" s="151">
        <v>0</v>
      </c>
      <c r="L202" s="152">
        <v>0</v>
      </c>
      <c r="M202" s="151">
        <v>0</v>
      </c>
      <c r="N202" s="144">
        <v>2360</v>
      </c>
      <c r="O202" s="144">
        <v>22547204.489999998</v>
      </c>
      <c r="P202" s="144">
        <v>0</v>
      </c>
      <c r="Q202" s="144">
        <v>0</v>
      </c>
      <c r="R202" s="144">
        <v>0</v>
      </c>
      <c r="S202" s="144">
        <v>0</v>
      </c>
      <c r="T202" s="151">
        <v>0</v>
      </c>
      <c r="U202" s="151">
        <v>0</v>
      </c>
      <c r="V202" s="151">
        <v>0</v>
      </c>
      <c r="W202" s="151">
        <v>0</v>
      </c>
      <c r="X202" s="151">
        <v>0</v>
      </c>
      <c r="Y202" s="153">
        <v>821293.69</v>
      </c>
      <c r="Z202" s="155">
        <f>ROUND(O202*1.5%,2)</f>
        <v>338208.07</v>
      </c>
      <c r="AA202" s="151">
        <v>0</v>
      </c>
      <c r="AB202" s="150">
        <v>2027</v>
      </c>
      <c r="AC202" s="150">
        <v>2027</v>
      </c>
      <c r="AD202" s="150">
        <v>2027</v>
      </c>
    </row>
    <row r="203" spans="1:31" x14ac:dyDescent="0.25">
      <c r="A203" s="121">
        <v>1</v>
      </c>
      <c r="B203" s="148">
        <f>SUBTOTAL(9,$A$201:A203)</f>
        <v>3</v>
      </c>
      <c r="C203" s="154" t="s">
        <v>60</v>
      </c>
      <c r="D203" s="150" t="s">
        <v>113</v>
      </c>
      <c r="E203" s="144">
        <f t="shared" si="63"/>
        <v>10179912.59</v>
      </c>
      <c r="F203" s="151">
        <v>0</v>
      </c>
      <c r="G203" s="151">
        <v>0</v>
      </c>
      <c r="H203" s="151">
        <v>0</v>
      </c>
      <c r="I203" s="151">
        <v>0</v>
      </c>
      <c r="J203" s="151">
        <v>0</v>
      </c>
      <c r="K203" s="151">
        <v>0</v>
      </c>
      <c r="L203" s="152">
        <v>0</v>
      </c>
      <c r="M203" s="151">
        <v>0</v>
      </c>
      <c r="N203" s="153">
        <v>567</v>
      </c>
      <c r="O203" s="153">
        <v>9770817.0999999996</v>
      </c>
      <c r="P203" s="151">
        <v>0</v>
      </c>
      <c r="Q203" s="151">
        <v>0</v>
      </c>
      <c r="R203" s="153">
        <v>0</v>
      </c>
      <c r="S203" s="153">
        <v>0</v>
      </c>
      <c r="T203" s="151">
        <v>0</v>
      </c>
      <c r="U203" s="151">
        <v>0</v>
      </c>
      <c r="V203" s="151">
        <v>0</v>
      </c>
      <c r="W203" s="151">
        <v>0</v>
      </c>
      <c r="X203" s="151">
        <v>0</v>
      </c>
      <c r="Y203" s="153">
        <v>200000</v>
      </c>
      <c r="Z203" s="155">
        <v>209095.49</v>
      </c>
      <c r="AA203" s="151">
        <v>0</v>
      </c>
      <c r="AB203" s="150">
        <v>2027</v>
      </c>
      <c r="AC203" s="150">
        <v>2027</v>
      </c>
      <c r="AD203" s="150">
        <v>2027</v>
      </c>
    </row>
    <row r="204" spans="1:31" x14ac:dyDescent="0.25">
      <c r="A204" s="121">
        <v>1</v>
      </c>
      <c r="B204" s="148">
        <f>SUBTOTAL(9,$A$201:A204)</f>
        <v>4</v>
      </c>
      <c r="C204" s="154" t="s">
        <v>61</v>
      </c>
      <c r="D204" s="150" t="s">
        <v>113</v>
      </c>
      <c r="E204" s="144">
        <f t="shared" si="63"/>
        <v>9926626.3000000007</v>
      </c>
      <c r="F204" s="151">
        <v>0</v>
      </c>
      <c r="G204" s="151">
        <v>0</v>
      </c>
      <c r="H204" s="151">
        <v>0</v>
      </c>
      <c r="I204" s="151">
        <v>0</v>
      </c>
      <c r="J204" s="151">
        <v>0</v>
      </c>
      <c r="K204" s="151">
        <v>0</v>
      </c>
      <c r="L204" s="152">
        <v>0</v>
      </c>
      <c r="M204" s="151">
        <v>0</v>
      </c>
      <c r="N204" s="153">
        <v>782</v>
      </c>
      <c r="O204" s="153">
        <v>9522837.5800000001</v>
      </c>
      <c r="P204" s="151">
        <v>0</v>
      </c>
      <c r="Q204" s="151">
        <v>0</v>
      </c>
      <c r="R204" s="153">
        <v>0</v>
      </c>
      <c r="S204" s="153">
        <v>0</v>
      </c>
      <c r="T204" s="151">
        <v>0</v>
      </c>
      <c r="U204" s="151">
        <v>0</v>
      </c>
      <c r="V204" s="151">
        <v>0</v>
      </c>
      <c r="W204" s="151">
        <v>0</v>
      </c>
      <c r="X204" s="151">
        <v>0</v>
      </c>
      <c r="Y204" s="153">
        <v>200000</v>
      </c>
      <c r="Z204" s="155">
        <v>203788.72</v>
      </c>
      <c r="AA204" s="151">
        <v>0</v>
      </c>
      <c r="AB204" s="150">
        <v>2027</v>
      </c>
      <c r="AC204" s="150">
        <v>2027</v>
      </c>
      <c r="AD204" s="150">
        <v>2027</v>
      </c>
    </row>
    <row r="205" spans="1:31" x14ac:dyDescent="0.25">
      <c r="A205" s="121">
        <v>1</v>
      </c>
      <c r="B205" s="148">
        <f>SUBTOTAL(9,$A$201:A205)</f>
        <v>5</v>
      </c>
      <c r="C205" s="154" t="s">
        <v>62</v>
      </c>
      <c r="D205" s="150" t="s">
        <v>113</v>
      </c>
      <c r="E205" s="144">
        <f t="shared" si="63"/>
        <v>21612581</v>
      </c>
      <c r="F205" s="151">
        <v>0</v>
      </c>
      <c r="G205" s="151">
        <v>0</v>
      </c>
      <c r="H205" s="151">
        <v>0</v>
      </c>
      <c r="I205" s="151">
        <v>0</v>
      </c>
      <c r="J205" s="151">
        <v>0</v>
      </c>
      <c r="K205" s="151">
        <v>0</v>
      </c>
      <c r="L205" s="152">
        <v>0</v>
      </c>
      <c r="M205" s="151">
        <v>0</v>
      </c>
      <c r="N205" s="144">
        <v>0</v>
      </c>
      <c r="O205" s="144">
        <v>0</v>
      </c>
      <c r="P205" s="151">
        <v>0</v>
      </c>
      <c r="Q205" s="151">
        <v>0</v>
      </c>
      <c r="R205" s="153">
        <v>2040</v>
      </c>
      <c r="S205" s="153">
        <v>20915000</v>
      </c>
      <c r="T205" s="151">
        <v>0</v>
      </c>
      <c r="U205" s="151">
        <v>0</v>
      </c>
      <c r="V205" s="151">
        <v>0</v>
      </c>
      <c r="W205" s="151">
        <v>0</v>
      </c>
      <c r="X205" s="151">
        <v>0</v>
      </c>
      <c r="Y205" s="153">
        <v>250000</v>
      </c>
      <c r="Z205" s="155">
        <v>447581</v>
      </c>
      <c r="AA205" s="151">
        <v>0</v>
      </c>
      <c r="AB205" s="150">
        <v>2027</v>
      </c>
      <c r="AC205" s="150">
        <v>2027</v>
      </c>
      <c r="AD205" s="150">
        <v>2027</v>
      </c>
    </row>
    <row r="206" spans="1:31" x14ac:dyDescent="0.25">
      <c r="A206" s="121">
        <v>1</v>
      </c>
      <c r="B206" s="148">
        <f>SUBTOTAL(9,$A$201:A206)</f>
        <v>6</v>
      </c>
      <c r="C206" s="154" t="s">
        <v>63</v>
      </c>
      <c r="D206" s="150" t="s">
        <v>113</v>
      </c>
      <c r="E206" s="144">
        <f t="shared" si="63"/>
        <v>11962768.629999999</v>
      </c>
      <c r="F206" s="151">
        <v>0</v>
      </c>
      <c r="G206" s="151">
        <v>0</v>
      </c>
      <c r="H206" s="151">
        <v>0</v>
      </c>
      <c r="I206" s="151">
        <v>0</v>
      </c>
      <c r="J206" s="151">
        <v>0</v>
      </c>
      <c r="K206" s="151">
        <v>0</v>
      </c>
      <c r="L206" s="152">
        <v>0</v>
      </c>
      <c r="M206" s="151">
        <v>0</v>
      </c>
      <c r="N206" s="151">
        <v>925</v>
      </c>
      <c r="O206" s="153">
        <v>11496738.43</v>
      </c>
      <c r="P206" s="151">
        <v>0</v>
      </c>
      <c r="Q206" s="151">
        <v>0</v>
      </c>
      <c r="R206" s="151">
        <v>0</v>
      </c>
      <c r="S206" s="151">
        <v>0</v>
      </c>
      <c r="T206" s="151">
        <v>0</v>
      </c>
      <c r="U206" s="151">
        <v>0</v>
      </c>
      <c r="V206" s="151">
        <v>0</v>
      </c>
      <c r="W206" s="151">
        <v>0</v>
      </c>
      <c r="X206" s="151">
        <v>0</v>
      </c>
      <c r="Y206" s="153">
        <v>220000</v>
      </c>
      <c r="Z206" s="153">
        <v>246030.2</v>
      </c>
      <c r="AA206" s="151">
        <v>0</v>
      </c>
      <c r="AB206" s="150">
        <v>2027</v>
      </c>
      <c r="AC206" s="150">
        <v>2027</v>
      </c>
      <c r="AD206" s="150">
        <v>2027</v>
      </c>
    </row>
    <row r="207" spans="1:31" x14ac:dyDescent="0.25">
      <c r="A207" s="121">
        <v>1</v>
      </c>
      <c r="B207" s="148">
        <f>SUBTOTAL(9,$A$201:A207)</f>
        <v>7</v>
      </c>
      <c r="C207" s="154" t="s">
        <v>64</v>
      </c>
      <c r="D207" s="150" t="s">
        <v>113</v>
      </c>
      <c r="E207" s="144">
        <f t="shared" si="63"/>
        <v>20856102.009999998</v>
      </c>
      <c r="F207" s="151">
        <v>0</v>
      </c>
      <c r="G207" s="151">
        <v>0</v>
      </c>
      <c r="H207" s="151">
        <v>0</v>
      </c>
      <c r="I207" s="151">
        <v>0</v>
      </c>
      <c r="J207" s="151">
        <v>0</v>
      </c>
      <c r="K207" s="151">
        <v>0</v>
      </c>
      <c r="L207" s="152">
        <v>0</v>
      </c>
      <c r="M207" s="151">
        <v>0</v>
      </c>
      <c r="N207" s="151">
        <v>1371.8</v>
      </c>
      <c r="O207" s="153">
        <v>20203741.93</v>
      </c>
      <c r="P207" s="151">
        <v>0</v>
      </c>
      <c r="Q207" s="151">
        <v>0</v>
      </c>
      <c r="R207" s="151">
        <v>0</v>
      </c>
      <c r="S207" s="151">
        <v>0</v>
      </c>
      <c r="T207" s="151">
        <v>0</v>
      </c>
      <c r="U207" s="151">
        <v>0</v>
      </c>
      <c r="V207" s="151">
        <v>0</v>
      </c>
      <c r="W207" s="151">
        <v>0</v>
      </c>
      <c r="X207" s="151">
        <v>0</v>
      </c>
      <c r="Y207" s="153">
        <v>220000</v>
      </c>
      <c r="Z207" s="153">
        <v>432360.08</v>
      </c>
      <c r="AA207" s="151">
        <v>0</v>
      </c>
      <c r="AB207" s="150">
        <v>2027</v>
      </c>
      <c r="AC207" s="150">
        <v>2027</v>
      </c>
      <c r="AD207" s="150">
        <v>2027</v>
      </c>
    </row>
    <row r="208" spans="1:31" x14ac:dyDescent="0.25">
      <c r="A208" s="121">
        <v>1</v>
      </c>
      <c r="B208" s="148">
        <f>SUBTOTAL(9,$A$201:A208)</f>
        <v>8</v>
      </c>
      <c r="C208" s="154" t="s">
        <v>65</v>
      </c>
      <c r="D208" s="150" t="s">
        <v>113</v>
      </c>
      <c r="E208" s="144">
        <f t="shared" si="63"/>
        <v>1748115.43</v>
      </c>
      <c r="F208" s="151">
        <v>0</v>
      </c>
      <c r="G208" s="151">
        <v>0</v>
      </c>
      <c r="H208" s="151">
        <v>0</v>
      </c>
      <c r="I208" s="151">
        <v>1496098.91</v>
      </c>
      <c r="J208" s="151">
        <v>0</v>
      </c>
      <c r="K208" s="151">
        <v>0</v>
      </c>
      <c r="L208" s="152">
        <v>0</v>
      </c>
      <c r="M208" s="151">
        <v>0</v>
      </c>
      <c r="N208" s="144">
        <v>0</v>
      </c>
      <c r="O208" s="144">
        <v>0</v>
      </c>
      <c r="P208" s="151">
        <v>0</v>
      </c>
      <c r="Q208" s="151">
        <v>0</v>
      </c>
      <c r="R208" s="153">
        <v>0</v>
      </c>
      <c r="S208" s="153">
        <v>0</v>
      </c>
      <c r="T208" s="151">
        <v>0</v>
      </c>
      <c r="U208" s="151">
        <v>0</v>
      </c>
      <c r="V208" s="151">
        <v>0</v>
      </c>
      <c r="W208" s="151">
        <v>0</v>
      </c>
      <c r="X208" s="151">
        <v>0</v>
      </c>
      <c r="Y208" s="153">
        <v>220000</v>
      </c>
      <c r="Z208" s="155">
        <v>32016.52</v>
      </c>
      <c r="AA208" s="151">
        <v>0</v>
      </c>
      <c r="AB208" s="150">
        <v>2027</v>
      </c>
      <c r="AC208" s="150">
        <v>2027</v>
      </c>
      <c r="AD208" s="150">
        <v>2027</v>
      </c>
    </row>
    <row r="209" spans="1:30" x14ac:dyDescent="0.25">
      <c r="A209" s="121">
        <v>1</v>
      </c>
      <c r="B209" s="148">
        <f>SUBTOTAL(9,$A$201:A209)</f>
        <v>9</v>
      </c>
      <c r="C209" s="154" t="s">
        <v>66</v>
      </c>
      <c r="D209" s="150" t="s">
        <v>113</v>
      </c>
      <c r="E209" s="144">
        <f t="shared" si="63"/>
        <v>9440888.9700000007</v>
      </c>
      <c r="F209" s="151">
        <v>0</v>
      </c>
      <c r="G209" s="151">
        <v>0</v>
      </c>
      <c r="H209" s="151">
        <v>0</v>
      </c>
      <c r="I209" s="151">
        <v>0</v>
      </c>
      <c r="J209" s="151">
        <v>0</v>
      </c>
      <c r="K209" s="151">
        <v>0</v>
      </c>
      <c r="L209" s="152">
        <v>0</v>
      </c>
      <c r="M209" s="151">
        <v>0</v>
      </c>
      <c r="N209" s="153">
        <v>730</v>
      </c>
      <c r="O209" s="153">
        <v>9047277.2400000002</v>
      </c>
      <c r="P209" s="151">
        <v>0</v>
      </c>
      <c r="Q209" s="151">
        <v>0</v>
      </c>
      <c r="R209" s="153">
        <v>0</v>
      </c>
      <c r="S209" s="153">
        <v>0</v>
      </c>
      <c r="T209" s="151">
        <v>0</v>
      </c>
      <c r="U209" s="151">
        <v>0</v>
      </c>
      <c r="V209" s="151">
        <v>0</v>
      </c>
      <c r="W209" s="151">
        <v>0</v>
      </c>
      <c r="X209" s="151">
        <v>0</v>
      </c>
      <c r="Y209" s="153">
        <v>200000</v>
      </c>
      <c r="Z209" s="155">
        <v>193611.73</v>
      </c>
      <c r="AA209" s="151">
        <v>0</v>
      </c>
      <c r="AB209" s="150">
        <v>2027</v>
      </c>
      <c r="AC209" s="150">
        <v>2027</v>
      </c>
      <c r="AD209" s="150">
        <v>2027</v>
      </c>
    </row>
    <row r="210" spans="1:30" x14ac:dyDescent="0.25">
      <c r="A210" s="121">
        <v>1</v>
      </c>
      <c r="B210" s="148">
        <f>SUBTOTAL(9,$A$201:A210)</f>
        <v>10</v>
      </c>
      <c r="C210" s="154" t="s">
        <v>67</v>
      </c>
      <c r="D210" s="150" t="s">
        <v>113</v>
      </c>
      <c r="E210" s="144">
        <f t="shared" si="63"/>
        <v>7298992.54</v>
      </c>
      <c r="F210" s="151">
        <v>0</v>
      </c>
      <c r="G210" s="151">
        <v>0</v>
      </c>
      <c r="H210" s="151">
        <v>0</v>
      </c>
      <c r="I210" s="151">
        <v>0</v>
      </c>
      <c r="J210" s="151">
        <v>0</v>
      </c>
      <c r="K210" s="151">
        <v>0</v>
      </c>
      <c r="L210" s="152">
        <v>0</v>
      </c>
      <c r="M210" s="151">
        <v>0</v>
      </c>
      <c r="N210" s="153">
        <v>575</v>
      </c>
      <c r="O210" s="153">
        <v>6950257.04</v>
      </c>
      <c r="P210" s="151">
        <v>0</v>
      </c>
      <c r="Q210" s="151">
        <v>0</v>
      </c>
      <c r="R210" s="153">
        <v>0</v>
      </c>
      <c r="S210" s="153">
        <v>0</v>
      </c>
      <c r="T210" s="151">
        <v>0</v>
      </c>
      <c r="U210" s="151">
        <v>0</v>
      </c>
      <c r="V210" s="151">
        <v>0</v>
      </c>
      <c r="W210" s="151">
        <v>0</v>
      </c>
      <c r="X210" s="151">
        <v>0</v>
      </c>
      <c r="Y210" s="153">
        <v>200000</v>
      </c>
      <c r="Z210" s="155">
        <v>148735.5</v>
      </c>
      <c r="AA210" s="151">
        <v>0</v>
      </c>
      <c r="AB210" s="150">
        <v>2027</v>
      </c>
      <c r="AC210" s="150">
        <v>2027</v>
      </c>
      <c r="AD210" s="150">
        <v>2027</v>
      </c>
    </row>
    <row r="211" spans="1:30" x14ac:dyDescent="0.25">
      <c r="A211" s="121">
        <v>1</v>
      </c>
      <c r="B211" s="148">
        <f>SUBTOTAL(9,$A$201:A211)</f>
        <v>11</v>
      </c>
      <c r="C211" s="154" t="s">
        <v>68</v>
      </c>
      <c r="D211" s="150" t="s">
        <v>113</v>
      </c>
      <c r="E211" s="144">
        <f t="shared" si="63"/>
        <v>4747522.0799999991</v>
      </c>
      <c r="F211" s="151">
        <v>0</v>
      </c>
      <c r="G211" s="151">
        <v>0</v>
      </c>
      <c r="H211" s="151">
        <v>0</v>
      </c>
      <c r="I211" s="151">
        <v>0</v>
      </c>
      <c r="J211" s="151">
        <v>0</v>
      </c>
      <c r="K211" s="151">
        <v>0</v>
      </c>
      <c r="L211" s="152">
        <v>0</v>
      </c>
      <c r="M211" s="151">
        <v>0</v>
      </c>
      <c r="N211" s="144">
        <v>374</v>
      </c>
      <c r="O211" s="144">
        <v>4452244.0599999996</v>
      </c>
      <c r="P211" s="151">
        <v>0</v>
      </c>
      <c r="Q211" s="151">
        <v>0</v>
      </c>
      <c r="R211" s="151">
        <v>0</v>
      </c>
      <c r="S211" s="151">
        <v>0</v>
      </c>
      <c r="T211" s="151">
        <v>0</v>
      </c>
      <c r="U211" s="151">
        <v>0</v>
      </c>
      <c r="V211" s="151">
        <v>0</v>
      </c>
      <c r="W211" s="151">
        <v>0</v>
      </c>
      <c r="X211" s="151">
        <v>0</v>
      </c>
      <c r="Y211" s="153">
        <v>200000</v>
      </c>
      <c r="Z211" s="153">
        <v>95278.02</v>
      </c>
      <c r="AA211" s="151">
        <v>0</v>
      </c>
      <c r="AB211" s="150">
        <v>2027</v>
      </c>
      <c r="AC211" s="150">
        <v>2027</v>
      </c>
      <c r="AD211" s="150">
        <v>2027</v>
      </c>
    </row>
    <row r="212" spans="1:30" x14ac:dyDescent="0.25">
      <c r="A212" s="121">
        <v>1</v>
      </c>
      <c r="B212" s="148">
        <f>SUBTOTAL(9,$A$201:A212)</f>
        <v>12</v>
      </c>
      <c r="C212" s="154" t="s">
        <v>69</v>
      </c>
      <c r="D212" s="150" t="s">
        <v>113</v>
      </c>
      <c r="E212" s="144">
        <f t="shared" si="63"/>
        <v>13150365.290000001</v>
      </c>
      <c r="F212" s="144">
        <v>0</v>
      </c>
      <c r="G212" s="144">
        <v>0</v>
      </c>
      <c r="H212" s="144">
        <v>0</v>
      </c>
      <c r="I212" s="144">
        <v>0</v>
      </c>
      <c r="J212" s="144">
        <v>0</v>
      </c>
      <c r="K212" s="144">
        <v>0</v>
      </c>
      <c r="L212" s="145">
        <v>0</v>
      </c>
      <c r="M212" s="144">
        <v>0</v>
      </c>
      <c r="N212" s="153">
        <v>1035.96</v>
      </c>
      <c r="O212" s="153">
        <v>12669243.48</v>
      </c>
      <c r="P212" s="144">
        <v>0</v>
      </c>
      <c r="Q212" s="144">
        <v>0</v>
      </c>
      <c r="R212" s="144">
        <v>0</v>
      </c>
      <c r="S212" s="144">
        <v>0</v>
      </c>
      <c r="T212" s="151">
        <v>0</v>
      </c>
      <c r="U212" s="151">
        <v>0</v>
      </c>
      <c r="V212" s="151">
        <v>0</v>
      </c>
      <c r="W212" s="151">
        <v>0</v>
      </c>
      <c r="X212" s="151">
        <v>0</v>
      </c>
      <c r="Y212" s="153">
        <v>210000</v>
      </c>
      <c r="Z212" s="153">
        <v>271121.81</v>
      </c>
      <c r="AA212" s="151">
        <v>0</v>
      </c>
      <c r="AB212" s="150">
        <v>2027</v>
      </c>
      <c r="AC212" s="150">
        <v>2027</v>
      </c>
      <c r="AD212" s="150">
        <v>2027</v>
      </c>
    </row>
    <row r="213" spans="1:30" x14ac:dyDescent="0.25">
      <c r="A213" s="121">
        <v>1</v>
      </c>
      <c r="B213" s="148">
        <f>SUBTOTAL(9,$A$201:A213)</f>
        <v>13</v>
      </c>
      <c r="C213" s="154" t="s">
        <v>70</v>
      </c>
      <c r="D213" s="150" t="s">
        <v>113</v>
      </c>
      <c r="E213" s="144">
        <f t="shared" si="63"/>
        <v>6981645.46</v>
      </c>
      <c r="F213" s="151">
        <v>0</v>
      </c>
      <c r="G213" s="151">
        <v>0</v>
      </c>
      <c r="H213" s="151">
        <v>0</v>
      </c>
      <c r="I213" s="151">
        <v>0</v>
      </c>
      <c r="J213" s="151">
        <v>0</v>
      </c>
      <c r="K213" s="151">
        <v>0</v>
      </c>
      <c r="L213" s="152">
        <v>0</v>
      </c>
      <c r="M213" s="151">
        <v>0</v>
      </c>
      <c r="N213" s="153">
        <v>550</v>
      </c>
      <c r="O213" s="153">
        <v>6639558.9000000004</v>
      </c>
      <c r="P213" s="151">
        <v>0</v>
      </c>
      <c r="Q213" s="151">
        <v>0</v>
      </c>
      <c r="R213" s="153">
        <v>0</v>
      </c>
      <c r="S213" s="153">
        <v>0</v>
      </c>
      <c r="T213" s="151">
        <v>0</v>
      </c>
      <c r="U213" s="151">
        <v>0</v>
      </c>
      <c r="V213" s="151">
        <v>0</v>
      </c>
      <c r="W213" s="151">
        <v>0</v>
      </c>
      <c r="X213" s="151">
        <v>0</v>
      </c>
      <c r="Y213" s="153">
        <v>200000</v>
      </c>
      <c r="Z213" s="155">
        <v>142086.56</v>
      </c>
      <c r="AA213" s="151">
        <v>0</v>
      </c>
      <c r="AB213" s="150">
        <v>2027</v>
      </c>
      <c r="AC213" s="150">
        <v>2027</v>
      </c>
      <c r="AD213" s="150">
        <v>2027</v>
      </c>
    </row>
    <row r="214" spans="1:30" x14ac:dyDescent="0.25">
      <c r="A214" s="121">
        <v>1</v>
      </c>
      <c r="B214" s="148">
        <f>SUBTOTAL(9,$A$201:A214)</f>
        <v>14</v>
      </c>
      <c r="C214" s="154" t="s">
        <v>71</v>
      </c>
      <c r="D214" s="150" t="s">
        <v>113</v>
      </c>
      <c r="E214" s="144">
        <f t="shared" si="63"/>
        <v>13708684.630000001</v>
      </c>
      <c r="F214" s="151">
        <v>0</v>
      </c>
      <c r="G214" s="151">
        <v>0</v>
      </c>
      <c r="H214" s="151">
        <v>0</v>
      </c>
      <c r="I214" s="151">
        <v>0</v>
      </c>
      <c r="J214" s="151">
        <v>0</v>
      </c>
      <c r="K214" s="151">
        <v>0</v>
      </c>
      <c r="L214" s="152">
        <v>0</v>
      </c>
      <c r="M214" s="151">
        <v>0</v>
      </c>
      <c r="N214" s="153">
        <v>1060</v>
      </c>
      <c r="O214" s="153">
        <v>13206074.630000001</v>
      </c>
      <c r="P214" s="151">
        <v>0</v>
      </c>
      <c r="Q214" s="151">
        <v>0</v>
      </c>
      <c r="R214" s="153">
        <v>0</v>
      </c>
      <c r="S214" s="153">
        <v>0</v>
      </c>
      <c r="T214" s="151">
        <v>0</v>
      </c>
      <c r="U214" s="151">
        <v>0</v>
      </c>
      <c r="V214" s="151">
        <v>0</v>
      </c>
      <c r="W214" s="151">
        <v>0</v>
      </c>
      <c r="X214" s="151">
        <v>0</v>
      </c>
      <c r="Y214" s="151">
        <v>220000</v>
      </c>
      <c r="Z214" s="155">
        <v>282610</v>
      </c>
      <c r="AA214" s="151">
        <v>0</v>
      </c>
      <c r="AB214" s="150">
        <v>2027</v>
      </c>
      <c r="AC214" s="150">
        <v>2027</v>
      </c>
      <c r="AD214" s="150">
        <v>2027</v>
      </c>
    </row>
    <row r="215" spans="1:30" x14ac:dyDescent="0.25">
      <c r="A215" s="121">
        <v>1</v>
      </c>
      <c r="B215" s="148">
        <f>SUBTOTAL(9,$A$201:A215)</f>
        <v>15</v>
      </c>
      <c r="C215" s="154" t="s">
        <v>72</v>
      </c>
      <c r="D215" s="150" t="s">
        <v>113</v>
      </c>
      <c r="E215" s="144">
        <f t="shared" si="63"/>
        <v>22200340.390000001</v>
      </c>
      <c r="F215" s="144">
        <v>0</v>
      </c>
      <c r="G215" s="144">
        <v>0</v>
      </c>
      <c r="H215" s="144">
        <v>0</v>
      </c>
      <c r="I215" s="144">
        <v>0</v>
      </c>
      <c r="J215" s="144">
        <v>0</v>
      </c>
      <c r="K215" s="144">
        <v>0</v>
      </c>
      <c r="L215" s="145">
        <v>0</v>
      </c>
      <c r="M215" s="144">
        <v>0</v>
      </c>
      <c r="N215" s="153">
        <v>1732</v>
      </c>
      <c r="O215" s="153">
        <v>21704980.390000001</v>
      </c>
      <c r="P215" s="144">
        <v>0</v>
      </c>
      <c r="Q215" s="144">
        <v>0</v>
      </c>
      <c r="R215" s="144">
        <v>0</v>
      </c>
      <c r="S215" s="144">
        <v>0</v>
      </c>
      <c r="T215" s="151">
        <v>0</v>
      </c>
      <c r="U215" s="151">
        <v>0</v>
      </c>
      <c r="V215" s="151">
        <v>0</v>
      </c>
      <c r="W215" s="151">
        <v>0</v>
      </c>
      <c r="X215" s="151">
        <v>0</v>
      </c>
      <c r="Y215" s="153">
        <v>230000</v>
      </c>
      <c r="Z215" s="153">
        <v>265360</v>
      </c>
      <c r="AA215" s="151">
        <v>0</v>
      </c>
      <c r="AB215" s="150">
        <v>2027</v>
      </c>
      <c r="AC215" s="150">
        <v>2027</v>
      </c>
      <c r="AD215" s="150">
        <v>2027</v>
      </c>
    </row>
    <row r="216" spans="1:30" x14ac:dyDescent="0.25">
      <c r="A216" s="121">
        <v>1</v>
      </c>
      <c r="B216" s="148">
        <f>SUBTOTAL(9,$A$201:A216)</f>
        <v>16</v>
      </c>
      <c r="C216" s="154" t="s">
        <v>73</v>
      </c>
      <c r="D216" s="150" t="s">
        <v>113</v>
      </c>
      <c r="E216" s="144">
        <f t="shared" si="63"/>
        <v>8740282.9900000002</v>
      </c>
      <c r="F216" s="151">
        <v>0</v>
      </c>
      <c r="G216" s="151">
        <v>0</v>
      </c>
      <c r="H216" s="151">
        <v>0</v>
      </c>
      <c r="I216" s="151">
        <v>0</v>
      </c>
      <c r="J216" s="151">
        <v>8263445.2599999998</v>
      </c>
      <c r="K216" s="151">
        <v>0</v>
      </c>
      <c r="L216" s="152">
        <v>0</v>
      </c>
      <c r="M216" s="151">
        <v>0</v>
      </c>
      <c r="N216" s="144">
        <v>0</v>
      </c>
      <c r="O216" s="144">
        <v>0</v>
      </c>
      <c r="P216" s="151">
        <v>0</v>
      </c>
      <c r="Q216" s="151">
        <v>0</v>
      </c>
      <c r="R216" s="153">
        <v>0</v>
      </c>
      <c r="S216" s="153">
        <v>0</v>
      </c>
      <c r="T216" s="151">
        <v>0</v>
      </c>
      <c r="U216" s="151">
        <v>0</v>
      </c>
      <c r="V216" s="151">
        <v>0</v>
      </c>
      <c r="W216" s="151">
        <v>0</v>
      </c>
      <c r="X216" s="151">
        <v>0</v>
      </c>
      <c r="Y216" s="153">
        <v>300000</v>
      </c>
      <c r="Z216" s="153">
        <v>176837.73</v>
      </c>
      <c r="AA216" s="151">
        <v>0</v>
      </c>
      <c r="AB216" s="150">
        <v>2027</v>
      </c>
      <c r="AC216" s="150">
        <v>2027</v>
      </c>
      <c r="AD216" s="150">
        <v>2027</v>
      </c>
    </row>
    <row r="217" spans="1:30" x14ac:dyDescent="0.25">
      <c r="A217" s="121">
        <v>1</v>
      </c>
      <c r="B217" s="148">
        <f>SUBTOTAL(9,$A$201:A217)</f>
        <v>17</v>
      </c>
      <c r="C217" s="154" t="s">
        <v>74</v>
      </c>
      <c r="D217" s="150" t="s">
        <v>113</v>
      </c>
      <c r="E217" s="144">
        <f t="shared" si="63"/>
        <v>13763291.92</v>
      </c>
      <c r="F217" s="144">
        <v>0</v>
      </c>
      <c r="G217" s="144">
        <v>0</v>
      </c>
      <c r="H217" s="144">
        <v>0</v>
      </c>
      <c r="I217" s="144">
        <v>0</v>
      </c>
      <c r="J217" s="144">
        <v>0</v>
      </c>
      <c r="K217" s="144">
        <v>0</v>
      </c>
      <c r="L217" s="145">
        <v>0</v>
      </c>
      <c r="M217" s="144">
        <v>0</v>
      </c>
      <c r="N217" s="153">
        <v>1100</v>
      </c>
      <c r="O217" s="153">
        <v>13259537.82</v>
      </c>
      <c r="P217" s="144">
        <v>0</v>
      </c>
      <c r="Q217" s="144">
        <v>0</v>
      </c>
      <c r="R217" s="144">
        <v>0</v>
      </c>
      <c r="S217" s="144">
        <v>0</v>
      </c>
      <c r="T217" s="151">
        <v>0</v>
      </c>
      <c r="U217" s="151">
        <v>0</v>
      </c>
      <c r="V217" s="151">
        <v>0</v>
      </c>
      <c r="W217" s="151">
        <v>0</v>
      </c>
      <c r="X217" s="151">
        <v>0</v>
      </c>
      <c r="Y217" s="153">
        <v>220000</v>
      </c>
      <c r="Z217" s="153">
        <v>283754.09999999998</v>
      </c>
      <c r="AA217" s="151">
        <v>0</v>
      </c>
      <c r="AB217" s="150">
        <v>2027</v>
      </c>
      <c r="AC217" s="150">
        <v>2027</v>
      </c>
      <c r="AD217" s="150">
        <v>2027</v>
      </c>
    </row>
    <row r="218" spans="1:30" x14ac:dyDescent="0.25">
      <c r="A218" s="121">
        <v>1</v>
      </c>
      <c r="B218" s="148">
        <f>SUBTOTAL(9,$A$201:A218)</f>
        <v>18</v>
      </c>
      <c r="C218" s="154" t="s">
        <v>75</v>
      </c>
      <c r="D218" s="150" t="s">
        <v>113</v>
      </c>
      <c r="E218" s="144">
        <f t="shared" si="63"/>
        <v>12389239.58</v>
      </c>
      <c r="F218" s="151">
        <v>0</v>
      </c>
      <c r="G218" s="151">
        <v>0</v>
      </c>
      <c r="H218" s="151">
        <v>0</v>
      </c>
      <c r="I218" s="151">
        <v>0</v>
      </c>
      <c r="J218" s="151">
        <v>0</v>
      </c>
      <c r="K218" s="151">
        <v>0</v>
      </c>
      <c r="L218" s="152">
        <v>0</v>
      </c>
      <c r="M218" s="151">
        <v>0</v>
      </c>
      <c r="N218" s="144">
        <v>976</v>
      </c>
      <c r="O218" s="144">
        <v>11933855.08</v>
      </c>
      <c r="P218" s="151">
        <v>0</v>
      </c>
      <c r="Q218" s="151">
        <v>0</v>
      </c>
      <c r="R218" s="153">
        <v>0</v>
      </c>
      <c r="S218" s="153">
        <v>0</v>
      </c>
      <c r="T218" s="151">
        <v>0</v>
      </c>
      <c r="U218" s="151">
        <v>0</v>
      </c>
      <c r="V218" s="151">
        <v>0</v>
      </c>
      <c r="W218" s="151">
        <v>0</v>
      </c>
      <c r="X218" s="151">
        <v>0</v>
      </c>
      <c r="Y218" s="151">
        <v>200000</v>
      </c>
      <c r="Z218" s="153">
        <v>255384.5</v>
      </c>
      <c r="AA218" s="151">
        <v>0</v>
      </c>
      <c r="AB218" s="150">
        <v>2027</v>
      </c>
      <c r="AC218" s="150">
        <v>2027</v>
      </c>
      <c r="AD218" s="150">
        <v>2027</v>
      </c>
    </row>
    <row r="219" spans="1:30" x14ac:dyDescent="0.25">
      <c r="A219" s="121">
        <v>1</v>
      </c>
      <c r="B219" s="148">
        <f>SUBTOTAL(9,$A$201:A219)</f>
        <v>19</v>
      </c>
      <c r="C219" s="154" t="s">
        <v>76</v>
      </c>
      <c r="D219" s="150" t="s">
        <v>113</v>
      </c>
      <c r="E219" s="144">
        <f t="shared" si="63"/>
        <v>6283900.4400000004</v>
      </c>
      <c r="F219" s="151">
        <v>0</v>
      </c>
      <c r="G219" s="151">
        <v>0</v>
      </c>
      <c r="H219" s="151">
        <v>0</v>
      </c>
      <c r="I219" s="151">
        <v>0</v>
      </c>
      <c r="J219" s="151">
        <v>0</v>
      </c>
      <c r="K219" s="151">
        <v>0</v>
      </c>
      <c r="L219" s="152">
        <v>0</v>
      </c>
      <c r="M219" s="151">
        <v>0</v>
      </c>
      <c r="N219" s="153">
        <v>350</v>
      </c>
      <c r="O219" s="153">
        <v>5956432.7800000003</v>
      </c>
      <c r="P219" s="151">
        <v>0</v>
      </c>
      <c r="Q219" s="151">
        <v>0</v>
      </c>
      <c r="R219" s="153">
        <v>0</v>
      </c>
      <c r="S219" s="153">
        <v>0</v>
      </c>
      <c r="T219" s="151">
        <v>0</v>
      </c>
      <c r="U219" s="151">
        <v>0</v>
      </c>
      <c r="V219" s="151">
        <v>0</v>
      </c>
      <c r="W219" s="151">
        <v>0</v>
      </c>
      <c r="X219" s="151">
        <v>0</v>
      </c>
      <c r="Y219" s="153">
        <v>200000</v>
      </c>
      <c r="Z219" s="155">
        <v>127467.66</v>
      </c>
      <c r="AA219" s="151">
        <v>0</v>
      </c>
      <c r="AB219" s="150">
        <v>2027</v>
      </c>
      <c r="AC219" s="150">
        <v>2027</v>
      </c>
      <c r="AD219" s="150">
        <v>2027</v>
      </c>
    </row>
    <row r="220" spans="1:30" x14ac:dyDescent="0.25">
      <c r="A220" s="121">
        <v>1</v>
      </c>
      <c r="B220" s="148">
        <f>SUBTOTAL(9,$A$201:A220)</f>
        <v>20</v>
      </c>
      <c r="C220" s="154" t="s">
        <v>77</v>
      </c>
      <c r="D220" s="150" t="s">
        <v>113</v>
      </c>
      <c r="E220" s="144">
        <f t="shared" si="63"/>
        <v>19999023.359999999</v>
      </c>
      <c r="F220" s="151">
        <v>0</v>
      </c>
      <c r="G220" s="151">
        <v>0</v>
      </c>
      <c r="H220" s="151">
        <v>0</v>
      </c>
      <c r="I220" s="151">
        <v>0</v>
      </c>
      <c r="J220" s="151">
        <v>0</v>
      </c>
      <c r="K220" s="151">
        <v>0</v>
      </c>
      <c r="L220" s="152">
        <v>0</v>
      </c>
      <c r="M220" s="151">
        <v>0</v>
      </c>
      <c r="N220" s="144">
        <v>1740</v>
      </c>
      <c r="O220" s="144">
        <v>19354830</v>
      </c>
      <c r="P220" s="151">
        <v>0</v>
      </c>
      <c r="Q220" s="151">
        <v>0</v>
      </c>
      <c r="R220" s="153">
        <v>0</v>
      </c>
      <c r="S220" s="153">
        <v>0</v>
      </c>
      <c r="T220" s="151">
        <v>0</v>
      </c>
      <c r="U220" s="151">
        <v>0</v>
      </c>
      <c r="V220" s="151">
        <v>0</v>
      </c>
      <c r="W220" s="151">
        <v>0</v>
      </c>
      <c r="X220" s="151">
        <v>0</v>
      </c>
      <c r="Y220" s="153">
        <v>230000</v>
      </c>
      <c r="Z220" s="155">
        <v>414193.36</v>
      </c>
      <c r="AA220" s="151">
        <v>0</v>
      </c>
      <c r="AB220" s="150">
        <v>2027</v>
      </c>
      <c r="AC220" s="150">
        <v>2027</v>
      </c>
      <c r="AD220" s="150">
        <v>2027</v>
      </c>
    </row>
    <row r="221" spans="1:30" x14ac:dyDescent="0.25">
      <c r="A221" s="121">
        <v>1</v>
      </c>
      <c r="B221" s="148">
        <f>SUBTOTAL(9,$A$201:A221)</f>
        <v>21</v>
      </c>
      <c r="C221" s="154" t="s">
        <v>78</v>
      </c>
      <c r="D221" s="150" t="s">
        <v>113</v>
      </c>
      <c r="E221" s="144">
        <f t="shared" si="63"/>
        <v>7562549.9699999997</v>
      </c>
      <c r="F221" s="151">
        <v>0</v>
      </c>
      <c r="G221" s="151">
        <v>0</v>
      </c>
      <c r="H221" s="151">
        <v>0</v>
      </c>
      <c r="I221" s="151">
        <v>0</v>
      </c>
      <c r="J221" s="151">
        <v>7159340.0999999996</v>
      </c>
      <c r="K221" s="151">
        <v>0</v>
      </c>
      <c r="L221" s="152">
        <v>0</v>
      </c>
      <c r="M221" s="151">
        <v>0</v>
      </c>
      <c r="N221" s="144">
        <v>0</v>
      </c>
      <c r="O221" s="144">
        <v>0</v>
      </c>
      <c r="P221" s="151">
        <v>0</v>
      </c>
      <c r="Q221" s="151">
        <v>0</v>
      </c>
      <c r="R221" s="153">
        <v>0</v>
      </c>
      <c r="S221" s="153">
        <v>0</v>
      </c>
      <c r="T221" s="151">
        <v>0</v>
      </c>
      <c r="U221" s="151">
        <v>0</v>
      </c>
      <c r="V221" s="151">
        <v>0</v>
      </c>
      <c r="W221" s="151">
        <v>0</v>
      </c>
      <c r="X221" s="151">
        <v>0</v>
      </c>
      <c r="Y221" s="153">
        <v>250000</v>
      </c>
      <c r="Z221" s="155">
        <v>153209.87</v>
      </c>
      <c r="AA221" s="151">
        <v>0</v>
      </c>
      <c r="AB221" s="150">
        <v>2027</v>
      </c>
      <c r="AC221" s="150">
        <v>2027</v>
      </c>
      <c r="AD221" s="150">
        <v>2027</v>
      </c>
    </row>
    <row r="222" spans="1:30" x14ac:dyDescent="0.25">
      <c r="A222" s="121">
        <v>1</v>
      </c>
      <c r="B222" s="148">
        <f>SUBTOTAL(9,$A$201:A222)</f>
        <v>22</v>
      </c>
      <c r="C222" s="154" t="s">
        <v>80</v>
      </c>
      <c r="D222" s="150" t="s">
        <v>113</v>
      </c>
      <c r="E222" s="144">
        <f t="shared" si="63"/>
        <v>7590951.8399999999</v>
      </c>
      <c r="F222" s="151">
        <v>0</v>
      </c>
      <c r="G222" s="151">
        <v>0</v>
      </c>
      <c r="H222" s="151">
        <v>0</v>
      </c>
      <c r="I222" s="151">
        <v>0</v>
      </c>
      <c r="J222" s="151">
        <v>0</v>
      </c>
      <c r="K222" s="151">
        <v>0</v>
      </c>
      <c r="L222" s="152">
        <v>0</v>
      </c>
      <c r="M222" s="151">
        <v>0</v>
      </c>
      <c r="N222" s="153">
        <v>598</v>
      </c>
      <c r="O222" s="153">
        <v>7236099.3200000003</v>
      </c>
      <c r="P222" s="151">
        <v>0</v>
      </c>
      <c r="Q222" s="151">
        <v>0</v>
      </c>
      <c r="R222" s="153">
        <v>0</v>
      </c>
      <c r="S222" s="153">
        <v>0</v>
      </c>
      <c r="T222" s="151">
        <v>0</v>
      </c>
      <c r="U222" s="151">
        <v>0</v>
      </c>
      <c r="V222" s="151">
        <v>0</v>
      </c>
      <c r="W222" s="151">
        <v>0</v>
      </c>
      <c r="X222" s="151">
        <v>0</v>
      </c>
      <c r="Y222" s="153">
        <v>200000</v>
      </c>
      <c r="Z222" s="155">
        <v>154852.51999999999</v>
      </c>
      <c r="AA222" s="151">
        <v>0</v>
      </c>
      <c r="AB222" s="150">
        <v>2027</v>
      </c>
      <c r="AC222" s="150">
        <v>2027</v>
      </c>
      <c r="AD222" s="150">
        <v>2027</v>
      </c>
    </row>
    <row r="223" spans="1:30" x14ac:dyDescent="0.25">
      <c r="A223" s="121">
        <v>1</v>
      </c>
      <c r="B223" s="148">
        <f>SUBTOTAL(9,$A$201:A223)</f>
        <v>23</v>
      </c>
      <c r="C223" s="154" t="s">
        <v>81</v>
      </c>
      <c r="D223" s="150" t="s">
        <v>113</v>
      </c>
      <c r="E223" s="144">
        <f t="shared" si="63"/>
        <v>4760214.9700000007</v>
      </c>
      <c r="F223" s="151">
        <v>0</v>
      </c>
      <c r="G223" s="151">
        <v>0</v>
      </c>
      <c r="H223" s="151">
        <v>0</v>
      </c>
      <c r="I223" s="151">
        <v>0</v>
      </c>
      <c r="J223" s="151">
        <v>0</v>
      </c>
      <c r="K223" s="151">
        <v>0</v>
      </c>
      <c r="L223" s="152">
        <v>0</v>
      </c>
      <c r="M223" s="151">
        <v>0</v>
      </c>
      <c r="N223" s="153">
        <v>375</v>
      </c>
      <c r="O223" s="155">
        <v>4484251.9800000004</v>
      </c>
      <c r="P223" s="151">
        <v>0</v>
      </c>
      <c r="Q223" s="151">
        <v>0</v>
      </c>
      <c r="R223" s="153">
        <v>0</v>
      </c>
      <c r="S223" s="153">
        <v>0</v>
      </c>
      <c r="T223" s="151">
        <v>0</v>
      </c>
      <c r="U223" s="151">
        <v>0</v>
      </c>
      <c r="V223" s="151">
        <v>0</v>
      </c>
      <c r="W223" s="151">
        <v>0</v>
      </c>
      <c r="X223" s="151">
        <v>0</v>
      </c>
      <c r="Y223" s="153">
        <v>180000</v>
      </c>
      <c r="Z223" s="155">
        <v>95962.99</v>
      </c>
      <c r="AA223" s="151">
        <v>0</v>
      </c>
      <c r="AB223" s="150">
        <v>2027</v>
      </c>
      <c r="AC223" s="150">
        <v>2027</v>
      </c>
      <c r="AD223" s="150">
        <v>2027</v>
      </c>
    </row>
    <row r="224" spans="1:30" x14ac:dyDescent="0.25">
      <c r="A224" s="121">
        <v>1</v>
      </c>
      <c r="B224" s="148">
        <f>SUBTOTAL(9,$A$201:A224)</f>
        <v>24</v>
      </c>
      <c r="C224" s="154" t="s">
        <v>82</v>
      </c>
      <c r="D224" s="150" t="s">
        <v>113</v>
      </c>
      <c r="E224" s="144">
        <f t="shared" si="63"/>
        <v>7400543.8800000008</v>
      </c>
      <c r="F224" s="151">
        <v>0</v>
      </c>
      <c r="G224" s="151">
        <v>0</v>
      </c>
      <c r="H224" s="151">
        <v>0</v>
      </c>
      <c r="I224" s="151">
        <v>0</v>
      </c>
      <c r="J224" s="151">
        <v>0</v>
      </c>
      <c r="K224" s="151">
        <v>0</v>
      </c>
      <c r="L224" s="152">
        <v>0</v>
      </c>
      <c r="M224" s="151">
        <v>0</v>
      </c>
      <c r="N224" s="153">
        <v>583</v>
      </c>
      <c r="O224" s="153">
        <v>7049680.4400000004</v>
      </c>
      <c r="P224" s="151">
        <v>0</v>
      </c>
      <c r="Q224" s="151">
        <v>0</v>
      </c>
      <c r="R224" s="153">
        <v>0</v>
      </c>
      <c r="S224" s="153">
        <v>0</v>
      </c>
      <c r="T224" s="151">
        <v>0</v>
      </c>
      <c r="U224" s="151">
        <v>0</v>
      </c>
      <c r="V224" s="151">
        <v>0</v>
      </c>
      <c r="W224" s="151">
        <v>0</v>
      </c>
      <c r="X224" s="151">
        <v>0</v>
      </c>
      <c r="Y224" s="153">
        <v>200000</v>
      </c>
      <c r="Z224" s="155">
        <v>150863.44</v>
      </c>
      <c r="AA224" s="151">
        <v>0</v>
      </c>
      <c r="AB224" s="150">
        <v>2027</v>
      </c>
      <c r="AC224" s="150">
        <v>2027</v>
      </c>
      <c r="AD224" s="150">
        <v>2027</v>
      </c>
    </row>
    <row r="225" spans="1:30" x14ac:dyDescent="0.25">
      <c r="A225" s="121">
        <v>1</v>
      </c>
      <c r="B225" s="148">
        <f>SUBTOTAL(9,$A$201:A225)</f>
        <v>25</v>
      </c>
      <c r="C225" s="154" t="s">
        <v>83</v>
      </c>
      <c r="D225" s="150" t="s">
        <v>113</v>
      </c>
      <c r="E225" s="144">
        <f t="shared" si="63"/>
        <v>7384605.04</v>
      </c>
      <c r="F225" s="151">
        <v>0</v>
      </c>
      <c r="G225" s="151">
        <v>0</v>
      </c>
      <c r="H225" s="151">
        <v>0</v>
      </c>
      <c r="I225" s="151">
        <v>0</v>
      </c>
      <c r="J225" s="151">
        <v>0</v>
      </c>
      <c r="K225" s="151">
        <v>0</v>
      </c>
      <c r="L225" s="152">
        <v>0</v>
      </c>
      <c r="M225" s="151">
        <v>0</v>
      </c>
      <c r="N225" s="151">
        <v>571</v>
      </c>
      <c r="O225" s="153">
        <v>7034075.8200000003</v>
      </c>
      <c r="P225" s="151">
        <v>0</v>
      </c>
      <c r="Q225" s="151">
        <v>0</v>
      </c>
      <c r="R225" s="151">
        <v>0</v>
      </c>
      <c r="S225" s="151">
        <v>0</v>
      </c>
      <c r="T225" s="151">
        <v>0</v>
      </c>
      <c r="U225" s="151">
        <v>0</v>
      </c>
      <c r="V225" s="151">
        <v>0</v>
      </c>
      <c r="W225" s="151">
        <v>0</v>
      </c>
      <c r="X225" s="151">
        <v>0</v>
      </c>
      <c r="Y225" s="153">
        <v>200000</v>
      </c>
      <c r="Z225" s="153">
        <v>150529.22</v>
      </c>
      <c r="AA225" s="151">
        <v>0</v>
      </c>
      <c r="AB225" s="150">
        <v>2027</v>
      </c>
      <c r="AC225" s="150">
        <v>2027</v>
      </c>
      <c r="AD225" s="150">
        <v>2027</v>
      </c>
    </row>
    <row r="226" spans="1:30" x14ac:dyDescent="0.25">
      <c r="A226" s="121">
        <v>1</v>
      </c>
      <c r="B226" s="148">
        <f>SUBTOTAL(9,$A$201:A226)</f>
        <v>26</v>
      </c>
      <c r="C226" s="154" t="s">
        <v>79</v>
      </c>
      <c r="D226" s="150" t="s">
        <v>113</v>
      </c>
      <c r="E226" s="144">
        <f t="shared" si="63"/>
        <v>10282055.020000001</v>
      </c>
      <c r="F226" s="151">
        <v>0</v>
      </c>
      <c r="G226" s="151">
        <v>0</v>
      </c>
      <c r="H226" s="151">
        <v>0</v>
      </c>
      <c r="I226" s="151">
        <v>0</v>
      </c>
      <c r="J226" s="151">
        <v>0</v>
      </c>
      <c r="K226" s="151">
        <v>0</v>
      </c>
      <c r="L226" s="152">
        <v>0</v>
      </c>
      <c r="M226" s="151">
        <v>0</v>
      </c>
      <c r="N226" s="153">
        <v>814</v>
      </c>
      <c r="O226" s="153">
        <v>9933059.1300000008</v>
      </c>
      <c r="P226" s="151">
        <v>0</v>
      </c>
      <c r="Q226" s="151">
        <v>0</v>
      </c>
      <c r="R226" s="153">
        <v>0</v>
      </c>
      <c r="S226" s="153">
        <v>0</v>
      </c>
      <c r="T226" s="151">
        <v>0</v>
      </c>
      <c r="U226" s="151">
        <v>0</v>
      </c>
      <c r="V226" s="151">
        <v>0</v>
      </c>
      <c r="W226" s="151">
        <v>0</v>
      </c>
      <c r="X226" s="151">
        <v>0</v>
      </c>
      <c r="Y226" s="153">
        <v>200000</v>
      </c>
      <c r="Z226" s="153">
        <f>ROUND(O226*1.5%,2)</f>
        <v>148995.89000000001</v>
      </c>
      <c r="AA226" s="151">
        <v>0</v>
      </c>
      <c r="AB226" s="150">
        <v>2027</v>
      </c>
      <c r="AC226" s="150">
        <v>2027</v>
      </c>
      <c r="AD226" s="150">
        <v>2027</v>
      </c>
    </row>
    <row r="227" spans="1:30" x14ac:dyDescent="0.25">
      <c r="A227" s="121">
        <v>1</v>
      </c>
      <c r="B227" s="148">
        <f>SUBTOTAL(9,$A$201:A227)</f>
        <v>27</v>
      </c>
      <c r="C227" s="154" t="s">
        <v>86</v>
      </c>
      <c r="D227" s="163" t="s">
        <v>113</v>
      </c>
      <c r="E227" s="144">
        <f t="shared" si="63"/>
        <v>4163085.72</v>
      </c>
      <c r="F227" s="151">
        <v>0</v>
      </c>
      <c r="G227" s="151">
        <v>0</v>
      </c>
      <c r="H227" s="151">
        <v>0</v>
      </c>
      <c r="I227" s="151">
        <v>0</v>
      </c>
      <c r="J227" s="151">
        <v>0</v>
      </c>
      <c r="K227" s="151">
        <v>0</v>
      </c>
      <c r="L227" s="152">
        <v>1</v>
      </c>
      <c r="M227" s="151">
        <v>3904517.95</v>
      </c>
      <c r="N227" s="144">
        <v>0</v>
      </c>
      <c r="O227" s="144">
        <v>0</v>
      </c>
      <c r="P227" s="151">
        <v>0</v>
      </c>
      <c r="Q227" s="151">
        <v>0</v>
      </c>
      <c r="R227" s="151">
        <v>0</v>
      </c>
      <c r="S227" s="151">
        <v>0</v>
      </c>
      <c r="T227" s="151">
        <v>0</v>
      </c>
      <c r="U227" s="151">
        <v>0</v>
      </c>
      <c r="V227" s="151">
        <v>0</v>
      </c>
      <c r="W227" s="151">
        <v>0</v>
      </c>
      <c r="X227" s="151">
        <v>0</v>
      </c>
      <c r="Y227" s="153">
        <v>200000</v>
      </c>
      <c r="Z227" s="153">
        <f t="shared" ref="Z227:Z233" si="64">ROUND(M227*1.5%,2)</f>
        <v>58567.77</v>
      </c>
      <c r="AA227" s="151">
        <v>0</v>
      </c>
      <c r="AB227" s="150">
        <v>2027</v>
      </c>
      <c r="AC227" s="150">
        <v>2027</v>
      </c>
      <c r="AD227" s="150">
        <v>2027</v>
      </c>
    </row>
    <row r="228" spans="1:30" x14ac:dyDescent="0.25">
      <c r="A228" s="121">
        <v>1</v>
      </c>
      <c r="B228" s="148">
        <f>SUBTOTAL(9,$A$201:A228)</f>
        <v>28</v>
      </c>
      <c r="C228" s="154" t="s">
        <v>89</v>
      </c>
      <c r="D228" s="163" t="s">
        <v>113</v>
      </c>
      <c r="E228" s="144">
        <f t="shared" si="63"/>
        <v>4163085.72</v>
      </c>
      <c r="F228" s="151">
        <v>0</v>
      </c>
      <c r="G228" s="151">
        <v>0</v>
      </c>
      <c r="H228" s="151">
        <v>0</v>
      </c>
      <c r="I228" s="151">
        <v>0</v>
      </c>
      <c r="J228" s="151">
        <v>0</v>
      </c>
      <c r="K228" s="151">
        <v>0</v>
      </c>
      <c r="L228" s="152">
        <v>1</v>
      </c>
      <c r="M228" s="151">
        <v>3904517.95</v>
      </c>
      <c r="N228" s="144">
        <v>0</v>
      </c>
      <c r="O228" s="144">
        <v>0</v>
      </c>
      <c r="P228" s="151">
        <v>0</v>
      </c>
      <c r="Q228" s="151">
        <v>0</v>
      </c>
      <c r="R228" s="151">
        <v>0</v>
      </c>
      <c r="S228" s="151">
        <v>0</v>
      </c>
      <c r="T228" s="151">
        <v>0</v>
      </c>
      <c r="U228" s="151">
        <v>0</v>
      </c>
      <c r="V228" s="151">
        <v>0</v>
      </c>
      <c r="W228" s="151">
        <v>0</v>
      </c>
      <c r="X228" s="151">
        <v>0</v>
      </c>
      <c r="Y228" s="153">
        <v>200000</v>
      </c>
      <c r="Z228" s="153">
        <f t="shared" si="64"/>
        <v>58567.77</v>
      </c>
      <c r="AA228" s="151">
        <v>0</v>
      </c>
      <c r="AB228" s="150">
        <v>2027</v>
      </c>
      <c r="AC228" s="150">
        <v>2027</v>
      </c>
      <c r="AD228" s="150">
        <v>2027</v>
      </c>
    </row>
    <row r="229" spans="1:30" x14ac:dyDescent="0.25">
      <c r="A229" s="121">
        <v>1</v>
      </c>
      <c r="B229" s="148">
        <f>SUBTOTAL(9,$A$201:A229)</f>
        <v>29</v>
      </c>
      <c r="C229" s="154" t="s">
        <v>94</v>
      </c>
      <c r="D229" s="163" t="s">
        <v>113</v>
      </c>
      <c r="E229" s="144">
        <f t="shared" si="63"/>
        <v>4163085.72</v>
      </c>
      <c r="F229" s="151">
        <v>0</v>
      </c>
      <c r="G229" s="151">
        <v>0</v>
      </c>
      <c r="H229" s="151">
        <v>0</v>
      </c>
      <c r="I229" s="151">
        <v>0</v>
      </c>
      <c r="J229" s="151">
        <v>0</v>
      </c>
      <c r="K229" s="151">
        <v>0</v>
      </c>
      <c r="L229" s="152">
        <v>1</v>
      </c>
      <c r="M229" s="151">
        <v>3904517.95</v>
      </c>
      <c r="N229" s="144">
        <v>0</v>
      </c>
      <c r="O229" s="144">
        <v>0</v>
      </c>
      <c r="P229" s="151">
        <v>0</v>
      </c>
      <c r="Q229" s="151">
        <v>0</v>
      </c>
      <c r="R229" s="151">
        <v>0</v>
      </c>
      <c r="S229" s="151">
        <v>0</v>
      </c>
      <c r="T229" s="151">
        <v>0</v>
      </c>
      <c r="U229" s="151">
        <v>0</v>
      </c>
      <c r="V229" s="151">
        <v>0</v>
      </c>
      <c r="W229" s="151">
        <v>0</v>
      </c>
      <c r="X229" s="151">
        <v>0</v>
      </c>
      <c r="Y229" s="153">
        <v>200000</v>
      </c>
      <c r="Z229" s="153">
        <f t="shared" si="64"/>
        <v>58567.77</v>
      </c>
      <c r="AA229" s="151">
        <v>0</v>
      </c>
      <c r="AB229" s="150">
        <v>2027</v>
      </c>
      <c r="AC229" s="150">
        <v>2027</v>
      </c>
      <c r="AD229" s="150">
        <v>2027</v>
      </c>
    </row>
    <row r="230" spans="1:30" x14ac:dyDescent="0.25">
      <c r="A230" s="121">
        <v>1</v>
      </c>
      <c r="B230" s="148">
        <f>SUBTOTAL(9,$A$201:A230)</f>
        <v>30</v>
      </c>
      <c r="C230" s="154" t="s">
        <v>97</v>
      </c>
      <c r="D230" s="163" t="s">
        <v>113</v>
      </c>
      <c r="E230" s="144">
        <f t="shared" si="63"/>
        <v>4228644.46</v>
      </c>
      <c r="F230" s="151">
        <v>0</v>
      </c>
      <c r="G230" s="151">
        <v>0</v>
      </c>
      <c r="H230" s="151">
        <v>0</v>
      </c>
      <c r="I230" s="151">
        <v>0</v>
      </c>
      <c r="J230" s="151">
        <v>0</v>
      </c>
      <c r="K230" s="151">
        <v>0</v>
      </c>
      <c r="L230" s="152">
        <v>1</v>
      </c>
      <c r="M230" s="151">
        <v>3969107.84</v>
      </c>
      <c r="N230" s="144">
        <v>0</v>
      </c>
      <c r="O230" s="144">
        <v>0</v>
      </c>
      <c r="P230" s="151">
        <v>0</v>
      </c>
      <c r="Q230" s="151">
        <v>0</v>
      </c>
      <c r="R230" s="151">
        <v>0</v>
      </c>
      <c r="S230" s="151">
        <v>0</v>
      </c>
      <c r="T230" s="151">
        <v>0</v>
      </c>
      <c r="U230" s="151">
        <v>0</v>
      </c>
      <c r="V230" s="151">
        <v>0</v>
      </c>
      <c r="W230" s="151">
        <v>0</v>
      </c>
      <c r="X230" s="151">
        <v>0</v>
      </c>
      <c r="Y230" s="153">
        <v>200000</v>
      </c>
      <c r="Z230" s="153">
        <f t="shared" si="64"/>
        <v>59536.62</v>
      </c>
      <c r="AA230" s="151">
        <v>0</v>
      </c>
      <c r="AB230" s="150">
        <v>2027</v>
      </c>
      <c r="AC230" s="150">
        <v>2027</v>
      </c>
      <c r="AD230" s="150">
        <v>2027</v>
      </c>
    </row>
    <row r="231" spans="1:30" x14ac:dyDescent="0.25">
      <c r="A231" s="121">
        <v>1</v>
      </c>
      <c r="B231" s="148">
        <f>SUBTOTAL(9,$A$201:A231)</f>
        <v>31</v>
      </c>
      <c r="C231" s="154" t="s">
        <v>105</v>
      </c>
      <c r="D231" s="163" t="s">
        <v>113</v>
      </c>
      <c r="E231" s="144">
        <v>4163085.7199999997</v>
      </c>
      <c r="F231" s="151">
        <v>0</v>
      </c>
      <c r="G231" s="151">
        <v>0</v>
      </c>
      <c r="H231" s="151">
        <v>0</v>
      </c>
      <c r="I231" s="151">
        <v>0</v>
      </c>
      <c r="J231" s="151">
        <v>0</v>
      </c>
      <c r="K231" s="151">
        <v>0</v>
      </c>
      <c r="L231" s="152">
        <v>1</v>
      </c>
      <c r="M231" s="151">
        <v>3904517.95</v>
      </c>
      <c r="N231" s="144">
        <v>0</v>
      </c>
      <c r="O231" s="144">
        <v>0</v>
      </c>
      <c r="P231" s="151">
        <v>0</v>
      </c>
      <c r="Q231" s="151">
        <v>0</v>
      </c>
      <c r="R231" s="151">
        <v>0</v>
      </c>
      <c r="S231" s="151">
        <v>0</v>
      </c>
      <c r="T231" s="151">
        <v>0</v>
      </c>
      <c r="U231" s="151">
        <v>0</v>
      </c>
      <c r="V231" s="151">
        <v>0</v>
      </c>
      <c r="W231" s="151">
        <v>0</v>
      </c>
      <c r="X231" s="151">
        <v>0</v>
      </c>
      <c r="Y231" s="153">
        <v>200000</v>
      </c>
      <c r="Z231" s="153">
        <f t="shared" si="64"/>
        <v>58567.77</v>
      </c>
      <c r="AA231" s="151">
        <v>0</v>
      </c>
      <c r="AB231" s="150">
        <v>2027</v>
      </c>
      <c r="AC231" s="150">
        <v>2027</v>
      </c>
      <c r="AD231" s="150">
        <v>2027</v>
      </c>
    </row>
    <row r="232" spans="1:30" x14ac:dyDescent="0.25">
      <c r="A232" s="121">
        <v>1</v>
      </c>
      <c r="B232" s="148">
        <f>SUBTOTAL(9,$A$201:A232)</f>
        <v>32</v>
      </c>
      <c r="C232" s="154" t="s">
        <v>635</v>
      </c>
      <c r="D232" s="163" t="s">
        <v>113</v>
      </c>
      <c r="E232" s="144">
        <f t="shared" si="63"/>
        <v>8326563</v>
      </c>
      <c r="F232" s="151">
        <v>0</v>
      </c>
      <c r="G232" s="151">
        <v>0</v>
      </c>
      <c r="H232" s="151">
        <v>0</v>
      </c>
      <c r="I232" s="151">
        <v>0</v>
      </c>
      <c r="J232" s="151">
        <v>0</v>
      </c>
      <c r="K232" s="151">
        <v>0</v>
      </c>
      <c r="L232" s="152">
        <v>2</v>
      </c>
      <c r="M232" s="151">
        <v>8006466.0099999998</v>
      </c>
      <c r="N232" s="144">
        <v>0</v>
      </c>
      <c r="O232" s="144">
        <v>0</v>
      </c>
      <c r="P232" s="151">
        <v>0</v>
      </c>
      <c r="Q232" s="151">
        <v>0</v>
      </c>
      <c r="R232" s="151">
        <v>0</v>
      </c>
      <c r="S232" s="151">
        <v>0</v>
      </c>
      <c r="T232" s="151">
        <v>0</v>
      </c>
      <c r="U232" s="151">
        <v>0</v>
      </c>
      <c r="V232" s="151">
        <v>0</v>
      </c>
      <c r="W232" s="151">
        <v>0</v>
      </c>
      <c r="X232" s="151">
        <v>0</v>
      </c>
      <c r="Y232" s="153">
        <v>200000</v>
      </c>
      <c r="Z232" s="153">
        <f t="shared" si="64"/>
        <v>120096.99</v>
      </c>
      <c r="AA232" s="151">
        <v>0</v>
      </c>
      <c r="AB232" s="150">
        <v>2027</v>
      </c>
      <c r="AC232" s="150">
        <v>2027</v>
      </c>
      <c r="AD232" s="150">
        <v>2027</v>
      </c>
    </row>
    <row r="233" spans="1:30" x14ac:dyDescent="0.25">
      <c r="A233" s="121">
        <v>1</v>
      </c>
      <c r="B233" s="148">
        <f>SUBTOTAL(9,$A$201:A233)</f>
        <v>33</v>
      </c>
      <c r="C233" s="154" t="s">
        <v>678</v>
      </c>
      <c r="D233" s="163" t="s">
        <v>113</v>
      </c>
      <c r="E233" s="144">
        <f t="shared" si="63"/>
        <v>4002526.5</v>
      </c>
      <c r="F233" s="151">
        <v>0</v>
      </c>
      <c r="G233" s="151">
        <v>0</v>
      </c>
      <c r="H233" s="151">
        <v>0</v>
      </c>
      <c r="I233" s="151">
        <v>0</v>
      </c>
      <c r="J233" s="151">
        <v>0</v>
      </c>
      <c r="K233" s="151">
        <v>0</v>
      </c>
      <c r="L233" s="152">
        <v>1</v>
      </c>
      <c r="M233" s="151">
        <v>3746331.53</v>
      </c>
      <c r="N233" s="144">
        <v>0</v>
      </c>
      <c r="O233" s="144">
        <v>0</v>
      </c>
      <c r="P233" s="151">
        <v>0</v>
      </c>
      <c r="Q233" s="151">
        <v>0</v>
      </c>
      <c r="R233" s="151">
        <v>0</v>
      </c>
      <c r="S233" s="151">
        <v>0</v>
      </c>
      <c r="T233" s="151">
        <v>0</v>
      </c>
      <c r="U233" s="151">
        <v>0</v>
      </c>
      <c r="V233" s="151">
        <v>0</v>
      </c>
      <c r="W233" s="151">
        <v>0</v>
      </c>
      <c r="X233" s="151">
        <v>0</v>
      </c>
      <c r="Y233" s="153">
        <v>200000</v>
      </c>
      <c r="Z233" s="153">
        <f t="shared" si="64"/>
        <v>56194.97</v>
      </c>
      <c r="AA233" s="151">
        <v>0</v>
      </c>
      <c r="AB233" s="150">
        <v>2027</v>
      </c>
      <c r="AC233" s="150">
        <v>2027</v>
      </c>
      <c r="AD233" s="150">
        <v>2027</v>
      </c>
    </row>
    <row r="234" spans="1:30" x14ac:dyDescent="0.25">
      <c r="A234" s="121">
        <v>1</v>
      </c>
      <c r="B234" s="148">
        <f>SUBTOTAL(9,$A$201:A234)</f>
        <v>34</v>
      </c>
      <c r="C234" s="154" t="s">
        <v>681</v>
      </c>
      <c r="D234" s="163" t="s">
        <v>113</v>
      </c>
      <c r="E234" s="144">
        <f t="shared" ref="E234:E239" si="65">F234+G234+H234+I234+J234+K234+M234+O234+Q234+S234+U234+V234+W234+X234+Y234+Z234+AA234</f>
        <v>3658382.82</v>
      </c>
      <c r="F234" s="151">
        <v>0</v>
      </c>
      <c r="G234" s="151">
        <v>0</v>
      </c>
      <c r="H234" s="151">
        <v>0</v>
      </c>
      <c r="I234" s="151">
        <v>0</v>
      </c>
      <c r="J234" s="151">
        <v>3456534.8</v>
      </c>
      <c r="K234" s="151">
        <v>0</v>
      </c>
      <c r="L234" s="152">
        <v>0</v>
      </c>
      <c r="M234" s="151">
        <v>0</v>
      </c>
      <c r="N234" s="144">
        <v>0</v>
      </c>
      <c r="O234" s="144">
        <v>0</v>
      </c>
      <c r="P234" s="151">
        <v>0</v>
      </c>
      <c r="Q234" s="151">
        <v>0</v>
      </c>
      <c r="R234" s="151">
        <v>0</v>
      </c>
      <c r="S234" s="151">
        <v>0</v>
      </c>
      <c r="T234" s="151">
        <v>0</v>
      </c>
      <c r="U234" s="151">
        <v>0</v>
      </c>
      <c r="V234" s="151">
        <v>0</v>
      </c>
      <c r="W234" s="151">
        <v>0</v>
      </c>
      <c r="X234" s="151">
        <v>0</v>
      </c>
      <c r="Y234" s="153">
        <v>150000</v>
      </c>
      <c r="Z234" s="153">
        <f>ROUND(J234*1.5%,2)</f>
        <v>51848.02</v>
      </c>
      <c r="AA234" s="151">
        <v>0</v>
      </c>
      <c r="AB234" s="150">
        <v>2027</v>
      </c>
      <c r="AC234" s="150">
        <v>2027</v>
      </c>
      <c r="AD234" s="150">
        <v>2027</v>
      </c>
    </row>
    <row r="235" spans="1:30" x14ac:dyDescent="0.25">
      <c r="A235" s="121">
        <v>1</v>
      </c>
      <c r="B235" s="148">
        <f>SUBTOTAL(9,$A$201:A235)</f>
        <v>35</v>
      </c>
      <c r="C235" s="154" t="s">
        <v>682</v>
      </c>
      <c r="D235" s="163" t="s">
        <v>113</v>
      </c>
      <c r="E235" s="144">
        <f t="shared" si="65"/>
        <v>7845207.1800000006</v>
      </c>
      <c r="F235" s="151">
        <v>0</v>
      </c>
      <c r="G235" s="151">
        <v>0</v>
      </c>
      <c r="H235" s="151">
        <v>0</v>
      </c>
      <c r="I235" s="151">
        <v>0</v>
      </c>
      <c r="J235" s="151">
        <v>0</v>
      </c>
      <c r="K235" s="151">
        <v>0</v>
      </c>
      <c r="L235" s="152">
        <v>0</v>
      </c>
      <c r="M235" s="151">
        <v>0</v>
      </c>
      <c r="N235" s="144">
        <v>618</v>
      </c>
      <c r="O235" s="144">
        <v>7482962.7400000002</v>
      </c>
      <c r="P235" s="151">
        <v>0</v>
      </c>
      <c r="Q235" s="151">
        <v>0</v>
      </c>
      <c r="R235" s="151">
        <v>0</v>
      </c>
      <c r="S235" s="151">
        <v>0</v>
      </c>
      <c r="T235" s="151">
        <v>0</v>
      </c>
      <c r="U235" s="151">
        <v>0</v>
      </c>
      <c r="V235" s="151">
        <v>0</v>
      </c>
      <c r="W235" s="151">
        <v>0</v>
      </c>
      <c r="X235" s="151">
        <v>0</v>
      </c>
      <c r="Y235" s="153">
        <v>250000</v>
      </c>
      <c r="Z235" s="153">
        <f>ROUND(O235*1.5%,2)</f>
        <v>112244.44</v>
      </c>
      <c r="AA235" s="151">
        <v>0</v>
      </c>
      <c r="AB235" s="150">
        <v>2027</v>
      </c>
      <c r="AC235" s="150">
        <v>2027</v>
      </c>
      <c r="AD235" s="150">
        <v>2027</v>
      </c>
    </row>
    <row r="236" spans="1:30" x14ac:dyDescent="0.25">
      <c r="A236" s="121">
        <v>1</v>
      </c>
      <c r="B236" s="148">
        <f>SUBTOTAL(9,$A$201:A236)</f>
        <v>36</v>
      </c>
      <c r="C236" s="154" t="s">
        <v>753</v>
      </c>
      <c r="D236" s="163"/>
      <c r="E236" s="144">
        <f t="shared" si="65"/>
        <v>7759559.5</v>
      </c>
      <c r="F236" s="151">
        <v>0</v>
      </c>
      <c r="G236" s="151">
        <v>0</v>
      </c>
      <c r="H236" s="151">
        <v>0</v>
      </c>
      <c r="I236" s="151">
        <v>0</v>
      </c>
      <c r="J236" s="151">
        <v>0</v>
      </c>
      <c r="K236" s="151">
        <v>0</v>
      </c>
      <c r="L236" s="152">
        <v>0</v>
      </c>
      <c r="M236" s="151">
        <v>0</v>
      </c>
      <c r="N236" s="144">
        <v>1043</v>
      </c>
      <c r="O236" s="144">
        <v>7300058.6200000001</v>
      </c>
      <c r="P236" s="151">
        <v>0</v>
      </c>
      <c r="Q236" s="151">
        <v>0</v>
      </c>
      <c r="R236" s="151">
        <v>0</v>
      </c>
      <c r="S236" s="151">
        <v>0</v>
      </c>
      <c r="T236" s="151">
        <v>0</v>
      </c>
      <c r="U236" s="151">
        <v>0</v>
      </c>
      <c r="V236" s="151">
        <v>0</v>
      </c>
      <c r="W236" s="151">
        <v>0</v>
      </c>
      <c r="X236" s="151">
        <v>0</v>
      </c>
      <c r="Y236" s="153">
        <v>350000</v>
      </c>
      <c r="Z236" s="153">
        <f>ROUND(O236*1.5%,2)</f>
        <v>109500.88</v>
      </c>
      <c r="AA236" s="151">
        <v>0</v>
      </c>
      <c r="AB236" s="150">
        <v>2027</v>
      </c>
      <c r="AC236" s="150">
        <v>2027</v>
      </c>
      <c r="AD236" s="150">
        <v>2027</v>
      </c>
    </row>
    <row r="237" spans="1:30" x14ac:dyDescent="0.25">
      <c r="A237" s="121">
        <v>1</v>
      </c>
      <c r="B237" s="148">
        <f>SUBTOTAL(9,$A$201:A237)</f>
        <v>37</v>
      </c>
      <c r="C237" s="154" t="s">
        <v>754</v>
      </c>
      <c r="D237" s="163"/>
      <c r="E237" s="144">
        <f t="shared" si="65"/>
        <v>4163281.5</v>
      </c>
      <c r="F237" s="151">
        <v>0</v>
      </c>
      <c r="G237" s="151">
        <v>0</v>
      </c>
      <c r="H237" s="151">
        <v>0</v>
      </c>
      <c r="I237" s="151">
        <v>0</v>
      </c>
      <c r="J237" s="151">
        <v>0</v>
      </c>
      <c r="K237" s="151">
        <v>0</v>
      </c>
      <c r="L237" s="152">
        <v>1</v>
      </c>
      <c r="M237" s="151">
        <v>3904710.84</v>
      </c>
      <c r="N237" s="144">
        <v>0</v>
      </c>
      <c r="O237" s="144">
        <v>0</v>
      </c>
      <c r="P237" s="151">
        <v>0</v>
      </c>
      <c r="Q237" s="151">
        <v>0</v>
      </c>
      <c r="R237" s="151">
        <v>0</v>
      </c>
      <c r="S237" s="151">
        <v>0</v>
      </c>
      <c r="T237" s="151">
        <v>0</v>
      </c>
      <c r="U237" s="151">
        <v>0</v>
      </c>
      <c r="V237" s="151">
        <v>0</v>
      </c>
      <c r="W237" s="151">
        <v>0</v>
      </c>
      <c r="X237" s="151">
        <v>0</v>
      </c>
      <c r="Y237" s="153">
        <v>200000</v>
      </c>
      <c r="Z237" s="153">
        <f>ROUND(M237*1.5%,2)</f>
        <v>58570.66</v>
      </c>
      <c r="AA237" s="151">
        <v>0</v>
      </c>
      <c r="AB237" s="150">
        <v>2027</v>
      </c>
      <c r="AC237" s="150">
        <v>2027</v>
      </c>
      <c r="AD237" s="150">
        <v>2027</v>
      </c>
    </row>
    <row r="238" spans="1:30" x14ac:dyDescent="0.25">
      <c r="A238" s="121">
        <v>1</v>
      </c>
      <c r="B238" s="148">
        <f>SUBTOTAL(9,$A$201:A238)</f>
        <v>38</v>
      </c>
      <c r="C238" s="154" t="s">
        <v>755</v>
      </c>
      <c r="D238" s="163"/>
      <c r="E238" s="144">
        <f t="shared" si="65"/>
        <v>5343366.34</v>
      </c>
      <c r="F238" s="151">
        <v>0</v>
      </c>
      <c r="G238" s="151">
        <v>0</v>
      </c>
      <c r="H238" s="151">
        <v>0</v>
      </c>
      <c r="I238" s="151">
        <v>0</v>
      </c>
      <c r="J238" s="151">
        <v>0</v>
      </c>
      <c r="K238" s="151">
        <v>0</v>
      </c>
      <c r="L238" s="152">
        <v>0</v>
      </c>
      <c r="M238" s="151">
        <v>0</v>
      </c>
      <c r="N238" s="144">
        <v>297.60000000000002</v>
      </c>
      <c r="O238" s="144">
        <v>5116617.08</v>
      </c>
      <c r="P238" s="151">
        <v>0</v>
      </c>
      <c r="Q238" s="151">
        <v>0</v>
      </c>
      <c r="R238" s="151">
        <v>0</v>
      </c>
      <c r="S238" s="151">
        <v>0</v>
      </c>
      <c r="T238" s="151">
        <v>0</v>
      </c>
      <c r="U238" s="151">
        <v>0</v>
      </c>
      <c r="V238" s="151">
        <v>0</v>
      </c>
      <c r="W238" s="151">
        <v>0</v>
      </c>
      <c r="X238" s="151">
        <v>0</v>
      </c>
      <c r="Y238" s="153">
        <v>150000</v>
      </c>
      <c r="Z238" s="153">
        <f>ROUND(O238*1.5%,2)</f>
        <v>76749.259999999995</v>
      </c>
      <c r="AA238" s="151">
        <v>0</v>
      </c>
      <c r="AB238" s="150">
        <v>2027</v>
      </c>
      <c r="AC238" s="150">
        <v>2027</v>
      </c>
      <c r="AD238" s="150">
        <v>2027</v>
      </c>
    </row>
    <row r="239" spans="1:30" x14ac:dyDescent="0.25">
      <c r="A239" s="121">
        <v>1</v>
      </c>
      <c r="B239" s="148">
        <f>SUBTOTAL(9,$A$201:A239)</f>
        <v>39</v>
      </c>
      <c r="C239" s="154" t="s">
        <v>641</v>
      </c>
      <c r="D239" s="163"/>
      <c r="E239" s="144">
        <f t="shared" si="65"/>
        <v>3820278</v>
      </c>
      <c r="F239" s="151">
        <v>0</v>
      </c>
      <c r="G239" s="151">
        <v>0</v>
      </c>
      <c r="H239" s="151">
        <v>0</v>
      </c>
      <c r="I239" s="151">
        <v>0</v>
      </c>
      <c r="J239" s="151">
        <v>0</v>
      </c>
      <c r="K239" s="151">
        <v>0</v>
      </c>
      <c r="L239" s="152">
        <v>1</v>
      </c>
      <c r="M239" s="151">
        <v>3616037.44</v>
      </c>
      <c r="N239" s="144">
        <v>0</v>
      </c>
      <c r="O239" s="144">
        <v>0</v>
      </c>
      <c r="P239" s="151">
        <v>0</v>
      </c>
      <c r="Q239" s="151">
        <v>0</v>
      </c>
      <c r="R239" s="151">
        <v>0</v>
      </c>
      <c r="S239" s="151">
        <v>0</v>
      </c>
      <c r="T239" s="151">
        <v>0</v>
      </c>
      <c r="U239" s="151">
        <v>0</v>
      </c>
      <c r="V239" s="151">
        <v>0</v>
      </c>
      <c r="W239" s="151">
        <v>0</v>
      </c>
      <c r="X239" s="151">
        <v>0</v>
      </c>
      <c r="Y239" s="153">
        <v>150000</v>
      </c>
      <c r="Z239" s="153">
        <f>ROUND(M239*1.5%,2)</f>
        <v>54240.56</v>
      </c>
      <c r="AA239" s="151">
        <v>0</v>
      </c>
      <c r="AB239" s="150">
        <v>2027</v>
      </c>
      <c r="AC239" s="150">
        <v>2027</v>
      </c>
      <c r="AD239" s="150">
        <v>2027</v>
      </c>
    </row>
    <row r="240" spans="1:30" x14ac:dyDescent="0.3">
      <c r="B240" s="141" t="s">
        <v>416</v>
      </c>
      <c r="C240" s="142"/>
      <c r="D240" s="143"/>
      <c r="E240" s="144">
        <f>SUM(E241:E246)</f>
        <v>68040552.340000004</v>
      </c>
      <c r="F240" s="144">
        <f t="shared" ref="F240:AA240" si="66">SUM(F241:F246)</f>
        <v>0</v>
      </c>
      <c r="G240" s="144">
        <f t="shared" si="66"/>
        <v>0</v>
      </c>
      <c r="H240" s="144">
        <f t="shared" si="66"/>
        <v>0</v>
      </c>
      <c r="I240" s="144">
        <f t="shared" si="66"/>
        <v>0</v>
      </c>
      <c r="J240" s="144">
        <f t="shared" si="66"/>
        <v>0</v>
      </c>
      <c r="K240" s="144">
        <f t="shared" si="66"/>
        <v>0</v>
      </c>
      <c r="L240" s="144">
        <f t="shared" si="66"/>
        <v>0</v>
      </c>
      <c r="M240" s="144">
        <f t="shared" si="66"/>
        <v>0</v>
      </c>
      <c r="N240" s="144">
        <f t="shared" si="66"/>
        <v>5376.31</v>
      </c>
      <c r="O240" s="144">
        <f t="shared" si="66"/>
        <v>65655716.580000006</v>
      </c>
      <c r="P240" s="144">
        <f t="shared" si="66"/>
        <v>0</v>
      </c>
      <c r="Q240" s="144">
        <f t="shared" si="66"/>
        <v>0</v>
      </c>
      <c r="R240" s="144">
        <f t="shared" si="66"/>
        <v>0</v>
      </c>
      <c r="S240" s="144">
        <f t="shared" si="66"/>
        <v>0</v>
      </c>
      <c r="T240" s="144">
        <f t="shared" si="66"/>
        <v>0</v>
      </c>
      <c r="U240" s="144">
        <f t="shared" si="66"/>
        <v>0</v>
      </c>
      <c r="V240" s="144">
        <f t="shared" si="66"/>
        <v>0</v>
      </c>
      <c r="W240" s="144">
        <f t="shared" si="66"/>
        <v>0</v>
      </c>
      <c r="X240" s="144">
        <f t="shared" si="66"/>
        <v>0</v>
      </c>
      <c r="Y240" s="144">
        <f t="shared" si="66"/>
        <v>1400000</v>
      </c>
      <c r="Z240" s="144">
        <f t="shared" si="66"/>
        <v>984835.76</v>
      </c>
      <c r="AA240" s="144">
        <f t="shared" si="66"/>
        <v>0</v>
      </c>
      <c r="AB240" s="146" t="s">
        <v>422</v>
      </c>
      <c r="AC240" s="146" t="s">
        <v>422</v>
      </c>
      <c r="AD240" s="146" t="s">
        <v>422</v>
      </c>
    </row>
    <row r="241" spans="1:30" x14ac:dyDescent="0.3">
      <c r="A241" s="121">
        <v>1</v>
      </c>
      <c r="B241" s="148">
        <f>SUBTOTAL(9,$A$201:A241)</f>
        <v>40</v>
      </c>
      <c r="C241" s="154" t="s">
        <v>159</v>
      </c>
      <c r="D241" s="163" t="s">
        <v>168</v>
      </c>
      <c r="E241" s="144">
        <f t="shared" ref="E241:E246" si="67">F241+G241+H241+I241+J241+K241+M241+O241+Q241+S241+U241+V241+W241+X241+Z241+AA241+Y241</f>
        <v>11425450.719999999</v>
      </c>
      <c r="F241" s="160">
        <v>0</v>
      </c>
      <c r="G241" s="160">
        <v>0</v>
      </c>
      <c r="H241" s="160">
        <v>0</v>
      </c>
      <c r="I241" s="160">
        <v>0</v>
      </c>
      <c r="J241" s="160">
        <v>0</v>
      </c>
      <c r="K241" s="160">
        <v>0</v>
      </c>
      <c r="L241" s="162">
        <v>0</v>
      </c>
      <c r="M241" s="160">
        <v>0</v>
      </c>
      <c r="N241" s="153">
        <v>883.41</v>
      </c>
      <c r="O241" s="153">
        <v>10961035.189999999</v>
      </c>
      <c r="P241" s="160">
        <v>0</v>
      </c>
      <c r="Q241" s="160">
        <v>0</v>
      </c>
      <c r="R241" s="160">
        <v>0</v>
      </c>
      <c r="S241" s="160">
        <v>0</v>
      </c>
      <c r="T241" s="160">
        <v>0</v>
      </c>
      <c r="U241" s="160">
        <v>0</v>
      </c>
      <c r="V241" s="160">
        <v>0</v>
      </c>
      <c r="W241" s="160">
        <v>0</v>
      </c>
      <c r="X241" s="160">
        <v>0</v>
      </c>
      <c r="Y241" s="160">
        <v>300000</v>
      </c>
      <c r="Z241" s="160">
        <f t="shared" ref="Z241:Z246" si="68">ROUND(O241*1.5%,2)</f>
        <v>164415.53</v>
      </c>
      <c r="AA241" s="160">
        <v>0</v>
      </c>
      <c r="AB241" s="150">
        <v>2027</v>
      </c>
      <c r="AC241" s="150">
        <v>2027</v>
      </c>
      <c r="AD241" s="150">
        <v>2027</v>
      </c>
    </row>
    <row r="242" spans="1:30" x14ac:dyDescent="0.3">
      <c r="A242" s="121">
        <v>1</v>
      </c>
      <c r="B242" s="148">
        <f>SUBTOTAL(9,$A$201:A242)</f>
        <v>41</v>
      </c>
      <c r="C242" s="154" t="s">
        <v>160</v>
      </c>
      <c r="D242" s="163" t="s">
        <v>168</v>
      </c>
      <c r="E242" s="144">
        <f t="shared" si="67"/>
        <v>14287797.950000001</v>
      </c>
      <c r="F242" s="160">
        <v>0</v>
      </c>
      <c r="G242" s="160">
        <v>0</v>
      </c>
      <c r="H242" s="160">
        <v>0</v>
      </c>
      <c r="I242" s="160">
        <v>0</v>
      </c>
      <c r="J242" s="160">
        <v>0</v>
      </c>
      <c r="K242" s="160">
        <v>0</v>
      </c>
      <c r="L242" s="162">
        <v>0</v>
      </c>
      <c r="M242" s="160">
        <v>0</v>
      </c>
      <c r="N242" s="153">
        <v>1125.51</v>
      </c>
      <c r="O242" s="153">
        <v>13879603.890000001</v>
      </c>
      <c r="P242" s="160">
        <v>0</v>
      </c>
      <c r="Q242" s="160">
        <v>0</v>
      </c>
      <c r="R242" s="160">
        <v>0</v>
      </c>
      <c r="S242" s="160">
        <v>0</v>
      </c>
      <c r="T242" s="160">
        <v>0</v>
      </c>
      <c r="U242" s="160">
        <v>0</v>
      </c>
      <c r="V242" s="160">
        <v>0</v>
      </c>
      <c r="W242" s="160">
        <v>0</v>
      </c>
      <c r="X242" s="160">
        <v>0</v>
      </c>
      <c r="Y242" s="160">
        <v>200000</v>
      </c>
      <c r="Z242" s="160">
        <f t="shared" si="68"/>
        <v>208194.06</v>
      </c>
      <c r="AA242" s="160">
        <v>0</v>
      </c>
      <c r="AB242" s="150">
        <v>2027</v>
      </c>
      <c r="AC242" s="150">
        <v>2027</v>
      </c>
      <c r="AD242" s="150">
        <v>2027</v>
      </c>
    </row>
    <row r="243" spans="1:30" x14ac:dyDescent="0.3">
      <c r="A243" s="121">
        <v>1</v>
      </c>
      <c r="B243" s="148">
        <f>SUBTOTAL(9,$A$201:A243)</f>
        <v>42</v>
      </c>
      <c r="C243" s="154" t="s">
        <v>161</v>
      </c>
      <c r="D243" s="163" t="s">
        <v>168</v>
      </c>
      <c r="E243" s="144">
        <f t="shared" si="67"/>
        <v>4646190.66</v>
      </c>
      <c r="F243" s="160">
        <v>0</v>
      </c>
      <c r="G243" s="160">
        <v>0</v>
      </c>
      <c r="H243" s="160">
        <v>0</v>
      </c>
      <c r="I243" s="160">
        <v>0</v>
      </c>
      <c r="J243" s="160">
        <v>0</v>
      </c>
      <c r="K243" s="160">
        <v>0</v>
      </c>
      <c r="L243" s="162">
        <v>0</v>
      </c>
      <c r="M243" s="160">
        <v>0</v>
      </c>
      <c r="N243" s="153">
        <v>366</v>
      </c>
      <c r="O243" s="153">
        <v>4429744.49</v>
      </c>
      <c r="P243" s="160">
        <v>0</v>
      </c>
      <c r="Q243" s="160">
        <v>0</v>
      </c>
      <c r="R243" s="160">
        <v>0</v>
      </c>
      <c r="S243" s="160">
        <v>0</v>
      </c>
      <c r="T243" s="160">
        <v>0</v>
      </c>
      <c r="U243" s="160">
        <v>0</v>
      </c>
      <c r="V243" s="160">
        <v>0</v>
      </c>
      <c r="W243" s="160">
        <v>0</v>
      </c>
      <c r="X243" s="160">
        <v>0</v>
      </c>
      <c r="Y243" s="160">
        <v>150000</v>
      </c>
      <c r="Z243" s="160">
        <f t="shared" si="68"/>
        <v>66446.17</v>
      </c>
      <c r="AA243" s="160">
        <v>0</v>
      </c>
      <c r="AB243" s="150">
        <v>2027</v>
      </c>
      <c r="AC243" s="150">
        <v>2027</v>
      </c>
      <c r="AD243" s="150">
        <v>2027</v>
      </c>
    </row>
    <row r="244" spans="1:30" x14ac:dyDescent="0.3">
      <c r="A244" s="121">
        <v>1</v>
      </c>
      <c r="B244" s="148">
        <f>SUBTOTAL(9,$A$201:A244)</f>
        <v>43</v>
      </c>
      <c r="C244" s="154" t="s">
        <v>162</v>
      </c>
      <c r="D244" s="163" t="s">
        <v>168</v>
      </c>
      <c r="E244" s="144">
        <f t="shared" si="67"/>
        <v>21922275.240000002</v>
      </c>
      <c r="F244" s="160">
        <v>0</v>
      </c>
      <c r="G244" s="160">
        <v>0</v>
      </c>
      <c r="H244" s="160">
        <v>0</v>
      </c>
      <c r="I244" s="160">
        <v>0</v>
      </c>
      <c r="J244" s="160">
        <v>0</v>
      </c>
      <c r="K244" s="160">
        <v>0</v>
      </c>
      <c r="L244" s="162">
        <v>0</v>
      </c>
      <c r="M244" s="160">
        <v>0</v>
      </c>
      <c r="N244" s="153">
        <v>1760</v>
      </c>
      <c r="O244" s="153">
        <f>21765849.85-413854.54</f>
        <v>21351995.310000002</v>
      </c>
      <c r="P244" s="160">
        <v>0</v>
      </c>
      <c r="Q244" s="160">
        <v>0</v>
      </c>
      <c r="R244" s="160">
        <v>0</v>
      </c>
      <c r="S244" s="160">
        <v>0</v>
      </c>
      <c r="T244" s="160">
        <v>0</v>
      </c>
      <c r="U244" s="160">
        <v>0</v>
      </c>
      <c r="V244" s="160">
        <v>0</v>
      </c>
      <c r="W244" s="160">
        <v>0</v>
      </c>
      <c r="X244" s="160">
        <v>0</v>
      </c>
      <c r="Y244" s="160">
        <v>250000</v>
      </c>
      <c r="Z244" s="160">
        <f t="shared" si="68"/>
        <v>320279.93</v>
      </c>
      <c r="AA244" s="160">
        <v>0</v>
      </c>
      <c r="AB244" s="150">
        <v>2027</v>
      </c>
      <c r="AC244" s="150">
        <v>2027</v>
      </c>
      <c r="AD244" s="150">
        <v>2027</v>
      </c>
    </row>
    <row r="245" spans="1:30" x14ac:dyDescent="0.3">
      <c r="A245" s="121">
        <v>1</v>
      </c>
      <c r="B245" s="148">
        <f>SUBTOTAL(9,$A$201:A245)</f>
        <v>44</v>
      </c>
      <c r="C245" s="154" t="s">
        <v>781</v>
      </c>
      <c r="D245" s="163"/>
      <c r="E245" s="144">
        <f t="shared" si="67"/>
        <v>8251431.5</v>
      </c>
      <c r="F245" s="160">
        <v>0</v>
      </c>
      <c r="G245" s="160">
        <v>0</v>
      </c>
      <c r="H245" s="160">
        <v>0</v>
      </c>
      <c r="I245" s="160">
        <v>0</v>
      </c>
      <c r="J245" s="160">
        <v>0</v>
      </c>
      <c r="K245" s="160">
        <v>0</v>
      </c>
      <c r="L245" s="162">
        <v>0</v>
      </c>
      <c r="M245" s="160">
        <v>0</v>
      </c>
      <c r="N245" s="153">
        <v>650</v>
      </c>
      <c r="O245" s="153">
        <v>7883183.7400000002</v>
      </c>
      <c r="P245" s="160">
        <v>0</v>
      </c>
      <c r="Q245" s="160">
        <v>0</v>
      </c>
      <c r="R245" s="160">
        <v>0</v>
      </c>
      <c r="S245" s="160">
        <v>0</v>
      </c>
      <c r="T245" s="160">
        <v>0</v>
      </c>
      <c r="U245" s="160">
        <v>0</v>
      </c>
      <c r="V245" s="160">
        <v>0</v>
      </c>
      <c r="W245" s="160">
        <v>0</v>
      </c>
      <c r="X245" s="160">
        <v>0</v>
      </c>
      <c r="Y245" s="160">
        <v>250000</v>
      </c>
      <c r="Z245" s="160">
        <f t="shared" si="68"/>
        <v>118247.76</v>
      </c>
      <c r="AA245" s="160">
        <v>0</v>
      </c>
      <c r="AB245" s="150">
        <v>2027</v>
      </c>
      <c r="AC245" s="150">
        <v>2027</v>
      </c>
      <c r="AD245" s="150">
        <v>2027</v>
      </c>
    </row>
    <row r="246" spans="1:30" x14ac:dyDescent="0.3">
      <c r="A246" s="121">
        <v>1</v>
      </c>
      <c r="B246" s="148">
        <f>SUBTOTAL(9,$A$201:A246)</f>
        <v>45</v>
      </c>
      <c r="C246" s="154" t="s">
        <v>782</v>
      </c>
      <c r="D246" s="163"/>
      <c r="E246" s="144">
        <f t="shared" si="67"/>
        <v>7507406.2699999996</v>
      </c>
      <c r="F246" s="160">
        <v>0</v>
      </c>
      <c r="G246" s="160">
        <v>0</v>
      </c>
      <c r="H246" s="160">
        <v>0</v>
      </c>
      <c r="I246" s="160">
        <v>0</v>
      </c>
      <c r="J246" s="160">
        <v>0</v>
      </c>
      <c r="K246" s="160">
        <v>0</v>
      </c>
      <c r="L246" s="162">
        <v>0</v>
      </c>
      <c r="M246" s="160">
        <v>0</v>
      </c>
      <c r="N246" s="153">
        <v>591.39</v>
      </c>
      <c r="O246" s="153">
        <v>7150153.96</v>
      </c>
      <c r="P246" s="160">
        <v>0</v>
      </c>
      <c r="Q246" s="160">
        <v>0</v>
      </c>
      <c r="R246" s="160">
        <v>0</v>
      </c>
      <c r="S246" s="160">
        <v>0</v>
      </c>
      <c r="T246" s="160">
        <v>0</v>
      </c>
      <c r="U246" s="160">
        <v>0</v>
      </c>
      <c r="V246" s="160">
        <v>0</v>
      </c>
      <c r="W246" s="160">
        <v>0</v>
      </c>
      <c r="X246" s="160">
        <v>0</v>
      </c>
      <c r="Y246" s="160">
        <v>250000</v>
      </c>
      <c r="Z246" s="160">
        <f t="shared" si="68"/>
        <v>107252.31</v>
      </c>
      <c r="AA246" s="160">
        <v>0</v>
      </c>
      <c r="AB246" s="150">
        <v>2027</v>
      </c>
      <c r="AC246" s="150">
        <v>2027</v>
      </c>
      <c r="AD246" s="150">
        <v>2027</v>
      </c>
    </row>
    <row r="247" spans="1:30" x14ac:dyDescent="0.3">
      <c r="B247" s="141" t="s">
        <v>414</v>
      </c>
      <c r="C247" s="142"/>
      <c r="D247" s="143"/>
      <c r="E247" s="144">
        <f>SUM(E248:E265)</f>
        <v>219003561.21000004</v>
      </c>
      <c r="F247" s="144">
        <f t="shared" ref="F247:AA247" si="69">SUM(F248:F265)</f>
        <v>0</v>
      </c>
      <c r="G247" s="144">
        <f t="shared" si="69"/>
        <v>0</v>
      </c>
      <c r="H247" s="144">
        <f t="shared" si="69"/>
        <v>0</v>
      </c>
      <c r="I247" s="144">
        <f t="shared" si="69"/>
        <v>0</v>
      </c>
      <c r="J247" s="144">
        <f t="shared" si="69"/>
        <v>0</v>
      </c>
      <c r="K247" s="144">
        <f t="shared" si="69"/>
        <v>0</v>
      </c>
      <c r="L247" s="145">
        <f t="shared" si="69"/>
        <v>11</v>
      </c>
      <c r="M247" s="144">
        <f t="shared" si="69"/>
        <v>42944380.789999999</v>
      </c>
      <c r="N247" s="144">
        <f t="shared" si="69"/>
        <v>12467.970000000001</v>
      </c>
      <c r="O247" s="144">
        <f t="shared" si="69"/>
        <v>164953801.72000003</v>
      </c>
      <c r="P247" s="144">
        <f t="shared" si="69"/>
        <v>0</v>
      </c>
      <c r="Q247" s="144">
        <f t="shared" si="69"/>
        <v>0</v>
      </c>
      <c r="R247" s="144">
        <f t="shared" si="69"/>
        <v>369.2</v>
      </c>
      <c r="S247" s="144">
        <f t="shared" si="69"/>
        <v>3977247.26</v>
      </c>
      <c r="T247" s="144">
        <f t="shared" si="69"/>
        <v>0</v>
      </c>
      <c r="U247" s="144">
        <f t="shared" si="69"/>
        <v>0</v>
      </c>
      <c r="V247" s="144">
        <f t="shared" si="69"/>
        <v>0</v>
      </c>
      <c r="W247" s="144">
        <f t="shared" si="69"/>
        <v>0</v>
      </c>
      <c r="X247" s="144">
        <f t="shared" si="69"/>
        <v>0</v>
      </c>
      <c r="Y247" s="144">
        <f t="shared" si="69"/>
        <v>3950000</v>
      </c>
      <c r="Z247" s="144">
        <f t="shared" si="69"/>
        <v>3178131.44</v>
      </c>
      <c r="AA247" s="144">
        <f t="shared" si="69"/>
        <v>0</v>
      </c>
      <c r="AB247" s="146" t="s">
        <v>422</v>
      </c>
      <c r="AC247" s="146" t="s">
        <v>422</v>
      </c>
      <c r="AD247" s="146" t="s">
        <v>422</v>
      </c>
    </row>
    <row r="248" spans="1:30" x14ac:dyDescent="0.3">
      <c r="A248" s="121">
        <v>1</v>
      </c>
      <c r="B248" s="148">
        <f>SUBTOTAL(9,$A$201:A248)</f>
        <v>46</v>
      </c>
      <c r="C248" s="154" t="s">
        <v>124</v>
      </c>
      <c r="D248" s="163" t="s">
        <v>152</v>
      </c>
      <c r="E248" s="144">
        <f t="shared" ref="E248:E265" si="70">F248+G248+H248+I248+J248+K248+M248+O248+Q248+S248+U248+V248+W248+X248+Z248+AA248+Y248</f>
        <v>4236905.97</v>
      </c>
      <c r="F248" s="160">
        <v>0</v>
      </c>
      <c r="G248" s="160">
        <v>0</v>
      </c>
      <c r="H248" s="160">
        <v>0</v>
      </c>
      <c r="I248" s="160">
        <v>0</v>
      </c>
      <c r="J248" s="160">
        <v>0</v>
      </c>
      <c r="K248" s="160">
        <v>0</v>
      </c>
      <c r="L248" s="162">
        <v>0</v>
      </c>
      <c r="M248" s="160">
        <v>0</v>
      </c>
      <c r="N248" s="153">
        <v>0</v>
      </c>
      <c r="O248" s="153">
        <v>0</v>
      </c>
      <c r="P248" s="160">
        <v>0</v>
      </c>
      <c r="Q248" s="160">
        <v>0</v>
      </c>
      <c r="R248" s="153">
        <v>369.2</v>
      </c>
      <c r="S248" s="153">
        <v>3977247.26</v>
      </c>
      <c r="T248" s="160">
        <v>0</v>
      </c>
      <c r="U248" s="160">
        <v>0</v>
      </c>
      <c r="V248" s="160">
        <v>0</v>
      </c>
      <c r="W248" s="160">
        <v>0</v>
      </c>
      <c r="X248" s="160">
        <v>0</v>
      </c>
      <c r="Y248" s="160">
        <v>200000</v>
      </c>
      <c r="Z248" s="160">
        <f>ROUND(S248*1.5%,2)</f>
        <v>59658.71</v>
      </c>
      <c r="AA248" s="160">
        <v>0</v>
      </c>
      <c r="AB248" s="150">
        <v>2027</v>
      </c>
      <c r="AC248" s="150">
        <v>2027</v>
      </c>
      <c r="AD248" s="150">
        <v>2027</v>
      </c>
    </row>
    <row r="249" spans="1:30" x14ac:dyDescent="0.3">
      <c r="A249" s="121">
        <v>1</v>
      </c>
      <c r="B249" s="148">
        <f>SUBTOTAL(9,$A$201:A249)</f>
        <v>47</v>
      </c>
      <c r="C249" s="154" t="s">
        <v>125</v>
      </c>
      <c r="D249" s="163" t="s">
        <v>152</v>
      </c>
      <c r="E249" s="144">
        <f t="shared" si="70"/>
        <v>9695624.4000000004</v>
      </c>
      <c r="F249" s="160">
        <v>0</v>
      </c>
      <c r="G249" s="160">
        <v>0</v>
      </c>
      <c r="H249" s="160">
        <v>0</v>
      </c>
      <c r="I249" s="160">
        <v>0</v>
      </c>
      <c r="J249" s="160">
        <v>0</v>
      </c>
      <c r="K249" s="160">
        <v>0</v>
      </c>
      <c r="L249" s="162">
        <v>0</v>
      </c>
      <c r="M249" s="160">
        <v>0</v>
      </c>
      <c r="N249" s="153">
        <v>540</v>
      </c>
      <c r="O249" s="153">
        <v>9355294.9800000004</v>
      </c>
      <c r="P249" s="160">
        <v>0</v>
      </c>
      <c r="Q249" s="160">
        <v>0</v>
      </c>
      <c r="R249" s="160">
        <v>0</v>
      </c>
      <c r="S249" s="160">
        <v>0</v>
      </c>
      <c r="T249" s="160">
        <v>0</v>
      </c>
      <c r="U249" s="160">
        <v>0</v>
      </c>
      <c r="V249" s="160">
        <v>0</v>
      </c>
      <c r="W249" s="160">
        <v>0</v>
      </c>
      <c r="X249" s="160">
        <v>0</v>
      </c>
      <c r="Y249" s="160">
        <v>200000</v>
      </c>
      <c r="Z249" s="160">
        <f t="shared" ref="Z249:Z262" si="71">ROUND(O249*1.5%,2)</f>
        <v>140329.42000000001</v>
      </c>
      <c r="AA249" s="160">
        <v>0</v>
      </c>
      <c r="AB249" s="150">
        <v>2027</v>
      </c>
      <c r="AC249" s="150">
        <v>2027</v>
      </c>
      <c r="AD249" s="150">
        <v>2027</v>
      </c>
    </row>
    <row r="250" spans="1:30" x14ac:dyDescent="0.3">
      <c r="A250" s="121">
        <v>1</v>
      </c>
      <c r="B250" s="148">
        <f>SUBTOTAL(9,$A$201:A250)</f>
        <v>48</v>
      </c>
      <c r="C250" s="154" t="s">
        <v>126</v>
      </c>
      <c r="D250" s="163" t="s">
        <v>152</v>
      </c>
      <c r="E250" s="144">
        <f t="shared" si="70"/>
        <v>11957936.76</v>
      </c>
      <c r="F250" s="160">
        <v>0</v>
      </c>
      <c r="G250" s="160">
        <v>0</v>
      </c>
      <c r="H250" s="160">
        <v>0</v>
      </c>
      <c r="I250" s="160">
        <v>0</v>
      </c>
      <c r="J250" s="160">
        <v>0</v>
      </c>
      <c r="K250" s="160">
        <v>0</v>
      </c>
      <c r="L250" s="162">
        <v>0</v>
      </c>
      <c r="M250" s="160">
        <v>0</v>
      </c>
      <c r="N250" s="153">
        <v>666</v>
      </c>
      <c r="O250" s="153">
        <v>11584174.15</v>
      </c>
      <c r="P250" s="160">
        <v>0</v>
      </c>
      <c r="Q250" s="160">
        <v>0</v>
      </c>
      <c r="R250" s="160">
        <v>0</v>
      </c>
      <c r="S250" s="160">
        <v>0</v>
      </c>
      <c r="T250" s="160">
        <v>0</v>
      </c>
      <c r="U250" s="160">
        <v>0</v>
      </c>
      <c r="V250" s="160">
        <v>0</v>
      </c>
      <c r="W250" s="160">
        <v>0</v>
      </c>
      <c r="X250" s="160">
        <v>0</v>
      </c>
      <c r="Y250" s="160">
        <v>200000</v>
      </c>
      <c r="Z250" s="160">
        <f t="shared" si="71"/>
        <v>173762.61</v>
      </c>
      <c r="AA250" s="160">
        <v>0</v>
      </c>
      <c r="AB250" s="150">
        <v>2027</v>
      </c>
      <c r="AC250" s="150">
        <v>2027</v>
      </c>
      <c r="AD250" s="150">
        <v>2027</v>
      </c>
    </row>
    <row r="251" spans="1:30" x14ac:dyDescent="0.3">
      <c r="A251" s="121">
        <v>1</v>
      </c>
      <c r="B251" s="148">
        <f>SUBTOTAL(9,$A$201:A251)</f>
        <v>49</v>
      </c>
      <c r="C251" s="154" t="s">
        <v>127</v>
      </c>
      <c r="D251" s="163" t="s">
        <v>152</v>
      </c>
      <c r="E251" s="144">
        <f t="shared" si="70"/>
        <v>7515149.9199999999</v>
      </c>
      <c r="F251" s="160">
        <v>0</v>
      </c>
      <c r="G251" s="160">
        <v>0</v>
      </c>
      <c r="H251" s="160">
        <v>0</v>
      </c>
      <c r="I251" s="160">
        <v>0</v>
      </c>
      <c r="J251" s="160">
        <v>0</v>
      </c>
      <c r="K251" s="160">
        <v>0</v>
      </c>
      <c r="L251" s="162">
        <v>0</v>
      </c>
      <c r="M251" s="160">
        <v>0</v>
      </c>
      <c r="N251" s="153">
        <v>592</v>
      </c>
      <c r="O251" s="153">
        <v>7207044.2599999998</v>
      </c>
      <c r="P251" s="160">
        <v>0</v>
      </c>
      <c r="Q251" s="160">
        <v>0</v>
      </c>
      <c r="R251" s="160">
        <v>0</v>
      </c>
      <c r="S251" s="160">
        <v>0</v>
      </c>
      <c r="T251" s="160">
        <v>0</v>
      </c>
      <c r="U251" s="160">
        <v>0</v>
      </c>
      <c r="V251" s="160">
        <v>0</v>
      </c>
      <c r="W251" s="160">
        <v>0</v>
      </c>
      <c r="X251" s="160">
        <v>0</v>
      </c>
      <c r="Y251" s="160">
        <v>200000</v>
      </c>
      <c r="Z251" s="160">
        <f t="shared" si="71"/>
        <v>108105.66</v>
      </c>
      <c r="AA251" s="160">
        <v>0</v>
      </c>
      <c r="AB251" s="150">
        <v>2027</v>
      </c>
      <c r="AC251" s="150">
        <v>2027</v>
      </c>
      <c r="AD251" s="150">
        <v>2027</v>
      </c>
    </row>
    <row r="252" spans="1:30" x14ac:dyDescent="0.3">
      <c r="A252" s="121">
        <v>1</v>
      </c>
      <c r="B252" s="148">
        <f>SUBTOTAL(9,$A$201:A252)</f>
        <v>50</v>
      </c>
      <c r="C252" s="154" t="s">
        <v>128</v>
      </c>
      <c r="D252" s="163" t="s">
        <v>152</v>
      </c>
      <c r="E252" s="144">
        <f t="shared" si="70"/>
        <v>16274361.82</v>
      </c>
      <c r="F252" s="160">
        <v>0</v>
      </c>
      <c r="G252" s="160">
        <v>0</v>
      </c>
      <c r="H252" s="160">
        <v>0</v>
      </c>
      <c r="I252" s="160">
        <v>0</v>
      </c>
      <c r="J252" s="160">
        <v>0</v>
      </c>
      <c r="K252" s="160">
        <v>0</v>
      </c>
      <c r="L252" s="162">
        <v>0</v>
      </c>
      <c r="M252" s="160">
        <v>0</v>
      </c>
      <c r="N252" s="153">
        <v>1282</v>
      </c>
      <c r="O252" s="153">
        <v>15836809.67</v>
      </c>
      <c r="P252" s="160">
        <v>0</v>
      </c>
      <c r="Q252" s="160">
        <v>0</v>
      </c>
      <c r="R252" s="160">
        <v>0</v>
      </c>
      <c r="S252" s="160">
        <v>0</v>
      </c>
      <c r="T252" s="160">
        <v>0</v>
      </c>
      <c r="U252" s="160">
        <v>0</v>
      </c>
      <c r="V252" s="160">
        <v>0</v>
      </c>
      <c r="W252" s="160">
        <v>0</v>
      </c>
      <c r="X252" s="160">
        <v>0</v>
      </c>
      <c r="Y252" s="160">
        <v>200000</v>
      </c>
      <c r="Z252" s="160">
        <f t="shared" si="71"/>
        <v>237552.15</v>
      </c>
      <c r="AA252" s="160">
        <v>0</v>
      </c>
      <c r="AB252" s="150">
        <v>2027</v>
      </c>
      <c r="AC252" s="150">
        <v>2027</v>
      </c>
      <c r="AD252" s="150">
        <v>2027</v>
      </c>
    </row>
    <row r="253" spans="1:30" x14ac:dyDescent="0.3">
      <c r="A253" s="121">
        <v>1</v>
      </c>
      <c r="B253" s="148">
        <f>SUBTOTAL(9,$A$201:A253)</f>
        <v>51</v>
      </c>
      <c r="C253" s="154" t="s">
        <v>129</v>
      </c>
      <c r="D253" s="163" t="s">
        <v>152</v>
      </c>
      <c r="E253" s="144">
        <f t="shared" si="70"/>
        <v>8366570.71</v>
      </c>
      <c r="F253" s="160">
        <v>0</v>
      </c>
      <c r="G253" s="160">
        <v>0</v>
      </c>
      <c r="H253" s="160">
        <v>0</v>
      </c>
      <c r="I253" s="160">
        <v>0</v>
      </c>
      <c r="J253" s="160">
        <v>0</v>
      </c>
      <c r="K253" s="160">
        <v>0</v>
      </c>
      <c r="L253" s="162">
        <v>0</v>
      </c>
      <c r="M253" s="160">
        <v>0</v>
      </c>
      <c r="N253" s="153">
        <v>659.07</v>
      </c>
      <c r="O253" s="153">
        <v>8045882.4699999997</v>
      </c>
      <c r="P253" s="160">
        <v>0</v>
      </c>
      <c r="Q253" s="160">
        <v>0</v>
      </c>
      <c r="R253" s="160">
        <v>0</v>
      </c>
      <c r="S253" s="160">
        <v>0</v>
      </c>
      <c r="T253" s="160">
        <v>0</v>
      </c>
      <c r="U253" s="160">
        <v>0</v>
      </c>
      <c r="V253" s="160">
        <v>0</v>
      </c>
      <c r="W253" s="160">
        <v>0</v>
      </c>
      <c r="X253" s="160">
        <v>0</v>
      </c>
      <c r="Y253" s="160">
        <v>200000</v>
      </c>
      <c r="Z253" s="160">
        <f t="shared" si="71"/>
        <v>120688.24</v>
      </c>
      <c r="AA253" s="160">
        <v>0</v>
      </c>
      <c r="AB253" s="150">
        <v>2027</v>
      </c>
      <c r="AC253" s="150">
        <v>2027</v>
      </c>
      <c r="AD253" s="150">
        <v>2027</v>
      </c>
    </row>
    <row r="254" spans="1:30" x14ac:dyDescent="0.3">
      <c r="A254" s="121">
        <v>1</v>
      </c>
      <c r="B254" s="148">
        <f>SUBTOTAL(9,$A$201:A254)</f>
        <v>52</v>
      </c>
      <c r="C254" s="154" t="s">
        <v>130</v>
      </c>
      <c r="D254" s="163" t="s">
        <v>152</v>
      </c>
      <c r="E254" s="144">
        <f t="shared" si="70"/>
        <v>11760433.300000001</v>
      </c>
      <c r="F254" s="160">
        <v>0</v>
      </c>
      <c r="G254" s="160">
        <v>0</v>
      </c>
      <c r="H254" s="160">
        <v>0</v>
      </c>
      <c r="I254" s="160">
        <v>0</v>
      </c>
      <c r="J254" s="160">
        <v>0</v>
      </c>
      <c r="K254" s="160">
        <v>0</v>
      </c>
      <c r="L254" s="162">
        <v>0</v>
      </c>
      <c r="M254" s="160">
        <v>0</v>
      </c>
      <c r="N254" s="153">
        <v>655.20000000000005</v>
      </c>
      <c r="O254" s="153">
        <v>11389589.460000001</v>
      </c>
      <c r="P254" s="160">
        <v>0</v>
      </c>
      <c r="Q254" s="160">
        <v>0</v>
      </c>
      <c r="R254" s="160">
        <v>0</v>
      </c>
      <c r="S254" s="160">
        <v>0</v>
      </c>
      <c r="T254" s="160">
        <v>0</v>
      </c>
      <c r="U254" s="160">
        <v>0</v>
      </c>
      <c r="V254" s="160">
        <v>0</v>
      </c>
      <c r="W254" s="160">
        <v>0</v>
      </c>
      <c r="X254" s="160">
        <v>0</v>
      </c>
      <c r="Y254" s="160">
        <v>200000</v>
      </c>
      <c r="Z254" s="160">
        <f t="shared" si="71"/>
        <v>170843.84</v>
      </c>
      <c r="AA254" s="160">
        <v>0</v>
      </c>
      <c r="AB254" s="150">
        <v>2027</v>
      </c>
      <c r="AC254" s="150">
        <v>2027</v>
      </c>
      <c r="AD254" s="150">
        <v>2027</v>
      </c>
    </row>
    <row r="255" spans="1:30" x14ac:dyDescent="0.3">
      <c r="A255" s="121">
        <v>1</v>
      </c>
      <c r="B255" s="148">
        <f>SUBTOTAL(9,$A$201:A255)</f>
        <v>53</v>
      </c>
      <c r="C255" s="154" t="s">
        <v>131</v>
      </c>
      <c r="D255" s="163" t="s">
        <v>152</v>
      </c>
      <c r="E255" s="144">
        <f t="shared" si="70"/>
        <v>11649068.350000001</v>
      </c>
      <c r="F255" s="160">
        <v>0</v>
      </c>
      <c r="G255" s="160">
        <v>0</v>
      </c>
      <c r="H255" s="160">
        <v>0</v>
      </c>
      <c r="I255" s="160">
        <v>0</v>
      </c>
      <c r="J255" s="160">
        <v>0</v>
      </c>
      <c r="K255" s="160">
        <v>0</v>
      </c>
      <c r="L255" s="162">
        <v>0</v>
      </c>
      <c r="M255" s="160">
        <v>0</v>
      </c>
      <c r="N255" s="153">
        <v>900.7</v>
      </c>
      <c r="O255" s="153">
        <v>11279870.300000001</v>
      </c>
      <c r="P255" s="160">
        <v>0</v>
      </c>
      <c r="Q255" s="160">
        <v>0</v>
      </c>
      <c r="R255" s="160">
        <v>0</v>
      </c>
      <c r="S255" s="160">
        <v>0</v>
      </c>
      <c r="T255" s="160">
        <v>0</v>
      </c>
      <c r="U255" s="160">
        <v>0</v>
      </c>
      <c r="V255" s="160">
        <v>0</v>
      </c>
      <c r="W255" s="160">
        <v>0</v>
      </c>
      <c r="X255" s="160">
        <v>0</v>
      </c>
      <c r="Y255" s="160">
        <v>200000</v>
      </c>
      <c r="Z255" s="160">
        <f t="shared" si="71"/>
        <v>169198.05</v>
      </c>
      <c r="AA255" s="160">
        <v>0</v>
      </c>
      <c r="AB255" s="150">
        <v>2027</v>
      </c>
      <c r="AC255" s="150">
        <v>2027</v>
      </c>
      <c r="AD255" s="150">
        <v>2027</v>
      </c>
    </row>
    <row r="256" spans="1:30" x14ac:dyDescent="0.3">
      <c r="A256" s="121">
        <v>1</v>
      </c>
      <c r="B256" s="148">
        <f>SUBTOTAL(9,$A$201:A256)</f>
        <v>54</v>
      </c>
      <c r="C256" s="154" t="s">
        <v>132</v>
      </c>
      <c r="D256" s="163" t="s">
        <v>152</v>
      </c>
      <c r="E256" s="144">
        <f t="shared" si="70"/>
        <v>10891889.600000001</v>
      </c>
      <c r="F256" s="160">
        <v>0</v>
      </c>
      <c r="G256" s="160">
        <v>0</v>
      </c>
      <c r="H256" s="160">
        <v>0</v>
      </c>
      <c r="I256" s="160">
        <v>0</v>
      </c>
      <c r="J256" s="160">
        <v>0</v>
      </c>
      <c r="K256" s="160">
        <v>0</v>
      </c>
      <c r="L256" s="162">
        <v>0</v>
      </c>
      <c r="M256" s="160">
        <v>0</v>
      </c>
      <c r="N256" s="153">
        <v>858</v>
      </c>
      <c r="O256" s="153">
        <v>10533881.380000001</v>
      </c>
      <c r="P256" s="160">
        <v>0</v>
      </c>
      <c r="Q256" s="160">
        <v>0</v>
      </c>
      <c r="R256" s="160">
        <v>0</v>
      </c>
      <c r="S256" s="160">
        <v>0</v>
      </c>
      <c r="T256" s="160">
        <v>0</v>
      </c>
      <c r="U256" s="160">
        <v>0</v>
      </c>
      <c r="V256" s="160">
        <v>0</v>
      </c>
      <c r="W256" s="160">
        <v>0</v>
      </c>
      <c r="X256" s="160">
        <v>0</v>
      </c>
      <c r="Y256" s="160">
        <v>200000</v>
      </c>
      <c r="Z256" s="160">
        <f t="shared" si="71"/>
        <v>158008.22</v>
      </c>
      <c r="AA256" s="160">
        <v>0</v>
      </c>
      <c r="AB256" s="150">
        <v>2027</v>
      </c>
      <c r="AC256" s="150">
        <v>2027</v>
      </c>
      <c r="AD256" s="150">
        <v>2027</v>
      </c>
    </row>
    <row r="257" spans="1:30" x14ac:dyDescent="0.3">
      <c r="A257" s="121">
        <v>1</v>
      </c>
      <c r="B257" s="148">
        <f>SUBTOTAL(9,$A$201:A257)</f>
        <v>55</v>
      </c>
      <c r="C257" s="154" t="s">
        <v>133</v>
      </c>
      <c r="D257" s="163" t="s">
        <v>152</v>
      </c>
      <c r="E257" s="144">
        <f t="shared" si="70"/>
        <v>11937482.050000001</v>
      </c>
      <c r="F257" s="160">
        <v>0</v>
      </c>
      <c r="G257" s="160">
        <v>0</v>
      </c>
      <c r="H257" s="160">
        <v>0</v>
      </c>
      <c r="I257" s="160">
        <v>0</v>
      </c>
      <c r="J257" s="160">
        <v>0</v>
      </c>
      <c r="K257" s="160">
        <v>0</v>
      </c>
      <c r="L257" s="162">
        <v>0</v>
      </c>
      <c r="M257" s="160">
        <v>0</v>
      </c>
      <c r="N257" s="153">
        <v>923</v>
      </c>
      <c r="O257" s="153">
        <v>11564021.720000001</v>
      </c>
      <c r="P257" s="160">
        <v>0</v>
      </c>
      <c r="Q257" s="160">
        <v>0</v>
      </c>
      <c r="R257" s="160">
        <v>0</v>
      </c>
      <c r="S257" s="160">
        <v>0</v>
      </c>
      <c r="T257" s="160">
        <v>0</v>
      </c>
      <c r="U257" s="160">
        <v>0</v>
      </c>
      <c r="V257" s="160">
        <v>0</v>
      </c>
      <c r="W257" s="160">
        <v>0</v>
      </c>
      <c r="X257" s="160">
        <v>0</v>
      </c>
      <c r="Y257" s="160">
        <v>200000</v>
      </c>
      <c r="Z257" s="160">
        <f t="shared" si="71"/>
        <v>173460.33</v>
      </c>
      <c r="AA257" s="160">
        <v>0</v>
      </c>
      <c r="AB257" s="150">
        <v>2027</v>
      </c>
      <c r="AC257" s="150">
        <v>2027</v>
      </c>
      <c r="AD257" s="150">
        <v>2027</v>
      </c>
    </row>
    <row r="258" spans="1:30" x14ac:dyDescent="0.3">
      <c r="A258" s="121">
        <v>1</v>
      </c>
      <c r="B258" s="148">
        <f>SUBTOTAL(9,$A$201:A258)</f>
        <v>56</v>
      </c>
      <c r="C258" s="154" t="s">
        <v>134</v>
      </c>
      <c r="D258" s="163" t="s">
        <v>152</v>
      </c>
      <c r="E258" s="144">
        <f t="shared" si="70"/>
        <v>21443494.300000001</v>
      </c>
      <c r="F258" s="160">
        <v>0</v>
      </c>
      <c r="G258" s="160">
        <v>0</v>
      </c>
      <c r="H258" s="160">
        <v>0</v>
      </c>
      <c r="I258" s="160">
        <v>0</v>
      </c>
      <c r="J258" s="160">
        <v>0</v>
      </c>
      <c r="K258" s="160">
        <v>0</v>
      </c>
      <c r="L258" s="162">
        <v>0</v>
      </c>
      <c r="M258" s="160">
        <v>0</v>
      </c>
      <c r="N258" s="153">
        <v>1658</v>
      </c>
      <c r="O258" s="153">
        <v>20880289.949999999</v>
      </c>
      <c r="P258" s="160">
        <v>0</v>
      </c>
      <c r="Q258" s="160">
        <v>0</v>
      </c>
      <c r="R258" s="160">
        <v>0</v>
      </c>
      <c r="S258" s="160">
        <v>0</v>
      </c>
      <c r="T258" s="160">
        <v>0</v>
      </c>
      <c r="U258" s="160">
        <v>0</v>
      </c>
      <c r="V258" s="160">
        <v>0</v>
      </c>
      <c r="W258" s="160">
        <v>0</v>
      </c>
      <c r="X258" s="160">
        <v>0</v>
      </c>
      <c r="Y258" s="160">
        <v>250000</v>
      </c>
      <c r="Z258" s="160">
        <f t="shared" si="71"/>
        <v>313204.34999999998</v>
      </c>
      <c r="AA258" s="160">
        <v>0</v>
      </c>
      <c r="AB258" s="150">
        <v>2027</v>
      </c>
      <c r="AC258" s="150">
        <v>2027</v>
      </c>
      <c r="AD258" s="150">
        <v>2027</v>
      </c>
    </row>
    <row r="259" spans="1:30" x14ac:dyDescent="0.3">
      <c r="A259" s="121">
        <v>1</v>
      </c>
      <c r="B259" s="148">
        <f>SUBTOTAL(9,$A$201:A259)</f>
        <v>57</v>
      </c>
      <c r="C259" s="154" t="s">
        <v>135</v>
      </c>
      <c r="D259" s="163" t="s">
        <v>152</v>
      </c>
      <c r="E259" s="144">
        <f t="shared" si="70"/>
        <v>14865271.210000001</v>
      </c>
      <c r="F259" s="160">
        <v>0</v>
      </c>
      <c r="G259" s="160">
        <v>0</v>
      </c>
      <c r="H259" s="160">
        <v>0</v>
      </c>
      <c r="I259" s="160">
        <v>0</v>
      </c>
      <c r="J259" s="160">
        <v>0</v>
      </c>
      <c r="K259" s="160">
        <v>0</v>
      </c>
      <c r="L259" s="162">
        <v>0</v>
      </c>
      <c r="M259" s="160">
        <v>0</v>
      </c>
      <c r="N259" s="153">
        <v>1171</v>
      </c>
      <c r="O259" s="153">
        <v>14448543.060000001</v>
      </c>
      <c r="P259" s="160">
        <v>0</v>
      </c>
      <c r="Q259" s="160">
        <v>0</v>
      </c>
      <c r="R259" s="160">
        <v>0</v>
      </c>
      <c r="S259" s="160">
        <v>0</v>
      </c>
      <c r="T259" s="160">
        <v>0</v>
      </c>
      <c r="U259" s="160">
        <v>0</v>
      </c>
      <c r="V259" s="160">
        <v>0</v>
      </c>
      <c r="W259" s="160">
        <v>0</v>
      </c>
      <c r="X259" s="160">
        <v>0</v>
      </c>
      <c r="Y259" s="160">
        <v>200000</v>
      </c>
      <c r="Z259" s="160">
        <f t="shared" si="71"/>
        <v>216728.15</v>
      </c>
      <c r="AA259" s="160">
        <v>0</v>
      </c>
      <c r="AB259" s="150">
        <v>2027</v>
      </c>
      <c r="AC259" s="150">
        <v>2027</v>
      </c>
      <c r="AD259" s="150">
        <v>2027</v>
      </c>
    </row>
    <row r="260" spans="1:30" x14ac:dyDescent="0.3">
      <c r="A260" s="121">
        <v>1</v>
      </c>
      <c r="B260" s="148">
        <f>SUBTOTAL(9,$A$201:A260)</f>
        <v>58</v>
      </c>
      <c r="C260" s="154" t="s">
        <v>136</v>
      </c>
      <c r="D260" s="163" t="s">
        <v>152</v>
      </c>
      <c r="E260" s="144">
        <f t="shared" si="70"/>
        <v>9210843.1799999997</v>
      </c>
      <c r="F260" s="160">
        <v>0</v>
      </c>
      <c r="G260" s="160">
        <v>0</v>
      </c>
      <c r="H260" s="160">
        <v>0</v>
      </c>
      <c r="I260" s="160">
        <v>0</v>
      </c>
      <c r="J260" s="160">
        <v>0</v>
      </c>
      <c r="K260" s="160">
        <v>0</v>
      </c>
      <c r="L260" s="162">
        <v>0</v>
      </c>
      <c r="M260" s="160">
        <v>0</v>
      </c>
      <c r="N260" s="153">
        <v>513</v>
      </c>
      <c r="O260" s="153">
        <v>8877678.0099999998</v>
      </c>
      <c r="P260" s="160">
        <v>0</v>
      </c>
      <c r="Q260" s="160">
        <v>0</v>
      </c>
      <c r="R260" s="160">
        <v>0</v>
      </c>
      <c r="S260" s="160">
        <v>0</v>
      </c>
      <c r="T260" s="160">
        <v>0</v>
      </c>
      <c r="U260" s="160">
        <v>0</v>
      </c>
      <c r="V260" s="160">
        <v>0</v>
      </c>
      <c r="W260" s="160">
        <v>0</v>
      </c>
      <c r="X260" s="160">
        <v>0</v>
      </c>
      <c r="Y260" s="160">
        <v>200000</v>
      </c>
      <c r="Z260" s="160">
        <f t="shared" si="71"/>
        <v>133165.17000000001</v>
      </c>
      <c r="AA260" s="160">
        <v>0</v>
      </c>
      <c r="AB260" s="150">
        <v>2027</v>
      </c>
      <c r="AC260" s="150">
        <v>2027</v>
      </c>
      <c r="AD260" s="150">
        <v>2027</v>
      </c>
    </row>
    <row r="261" spans="1:30" x14ac:dyDescent="0.3">
      <c r="A261" s="121">
        <v>1</v>
      </c>
      <c r="B261" s="148">
        <f>SUBTOTAL(9,$A$201:A261)</f>
        <v>59</v>
      </c>
      <c r="C261" s="154" t="s">
        <v>137</v>
      </c>
      <c r="D261" s="163" t="s">
        <v>152</v>
      </c>
      <c r="E261" s="144">
        <f t="shared" si="70"/>
        <v>8251431.5</v>
      </c>
      <c r="F261" s="160">
        <v>0</v>
      </c>
      <c r="G261" s="160">
        <v>0</v>
      </c>
      <c r="H261" s="160">
        <v>0</v>
      </c>
      <c r="I261" s="160">
        <v>0</v>
      </c>
      <c r="J261" s="160">
        <v>0</v>
      </c>
      <c r="K261" s="160">
        <v>0</v>
      </c>
      <c r="L261" s="162">
        <v>0</v>
      </c>
      <c r="M261" s="160">
        <v>0</v>
      </c>
      <c r="N261" s="153">
        <v>650</v>
      </c>
      <c r="O261" s="153">
        <v>7932444.8300000001</v>
      </c>
      <c r="P261" s="160">
        <v>0</v>
      </c>
      <c r="Q261" s="160">
        <v>0</v>
      </c>
      <c r="R261" s="160">
        <v>0</v>
      </c>
      <c r="S261" s="160">
        <v>0</v>
      </c>
      <c r="T261" s="160">
        <v>0</v>
      </c>
      <c r="U261" s="160">
        <v>0</v>
      </c>
      <c r="V261" s="160">
        <v>0</v>
      </c>
      <c r="W261" s="160">
        <v>0</v>
      </c>
      <c r="X261" s="160">
        <v>0</v>
      </c>
      <c r="Y261" s="160">
        <v>200000</v>
      </c>
      <c r="Z261" s="160">
        <f t="shared" si="71"/>
        <v>118986.67</v>
      </c>
      <c r="AA261" s="160">
        <v>0</v>
      </c>
      <c r="AB261" s="150">
        <v>2027</v>
      </c>
      <c r="AC261" s="150">
        <v>2027</v>
      </c>
      <c r="AD261" s="150">
        <v>2027</v>
      </c>
    </row>
    <row r="262" spans="1:30" x14ac:dyDescent="0.3">
      <c r="A262" s="121">
        <v>1</v>
      </c>
      <c r="B262" s="148">
        <f>SUBTOTAL(9,$A$201:A262)</f>
        <v>60</v>
      </c>
      <c r="C262" s="154" t="s">
        <v>138</v>
      </c>
      <c r="D262" s="163" t="s">
        <v>152</v>
      </c>
      <c r="E262" s="144">
        <f t="shared" si="70"/>
        <v>6093364.7999999998</v>
      </c>
      <c r="F262" s="160">
        <v>0</v>
      </c>
      <c r="G262" s="160">
        <v>0</v>
      </c>
      <c r="H262" s="160">
        <v>0</v>
      </c>
      <c r="I262" s="160">
        <v>0</v>
      </c>
      <c r="J262" s="160">
        <v>0</v>
      </c>
      <c r="K262" s="160">
        <v>0</v>
      </c>
      <c r="L262" s="162">
        <v>0</v>
      </c>
      <c r="M262" s="160">
        <v>0</v>
      </c>
      <c r="N262" s="153">
        <v>480</v>
      </c>
      <c r="O262" s="153">
        <v>5806270.7400000002</v>
      </c>
      <c r="P262" s="160">
        <v>0</v>
      </c>
      <c r="Q262" s="160">
        <v>0</v>
      </c>
      <c r="R262" s="160">
        <v>0</v>
      </c>
      <c r="S262" s="160">
        <v>0</v>
      </c>
      <c r="T262" s="160">
        <v>0</v>
      </c>
      <c r="U262" s="160">
        <v>0</v>
      </c>
      <c r="V262" s="160">
        <v>0</v>
      </c>
      <c r="W262" s="160">
        <v>0</v>
      </c>
      <c r="X262" s="160">
        <v>0</v>
      </c>
      <c r="Y262" s="160">
        <v>200000</v>
      </c>
      <c r="Z262" s="160">
        <f t="shared" si="71"/>
        <v>87094.06</v>
      </c>
      <c r="AA262" s="160">
        <v>0</v>
      </c>
      <c r="AB262" s="150">
        <v>2027</v>
      </c>
      <c r="AC262" s="150">
        <v>2027</v>
      </c>
      <c r="AD262" s="150">
        <v>2027</v>
      </c>
    </row>
    <row r="263" spans="1:30" x14ac:dyDescent="0.3">
      <c r="A263" s="121">
        <v>1</v>
      </c>
      <c r="B263" s="148">
        <f>SUBTOTAL(9,$A$201:A263)</f>
        <v>61</v>
      </c>
      <c r="C263" s="154" t="s">
        <v>677</v>
      </c>
      <c r="D263" s="163" t="s">
        <v>152</v>
      </c>
      <c r="E263" s="144">
        <f t="shared" si="70"/>
        <v>16010106</v>
      </c>
      <c r="F263" s="160">
        <v>0</v>
      </c>
      <c r="G263" s="160">
        <v>0</v>
      </c>
      <c r="H263" s="160">
        <v>0</v>
      </c>
      <c r="I263" s="160">
        <v>0</v>
      </c>
      <c r="J263" s="160">
        <v>0</v>
      </c>
      <c r="K263" s="160">
        <v>0</v>
      </c>
      <c r="L263" s="162">
        <v>4</v>
      </c>
      <c r="M263" s="160">
        <v>15477936.949999999</v>
      </c>
      <c r="N263" s="153">
        <v>0</v>
      </c>
      <c r="O263" s="153">
        <v>0</v>
      </c>
      <c r="P263" s="160">
        <v>0</v>
      </c>
      <c r="Q263" s="160">
        <v>0</v>
      </c>
      <c r="R263" s="160">
        <v>0</v>
      </c>
      <c r="S263" s="160">
        <v>0</v>
      </c>
      <c r="T263" s="160">
        <v>0</v>
      </c>
      <c r="U263" s="160">
        <v>0</v>
      </c>
      <c r="V263" s="160">
        <v>0</v>
      </c>
      <c r="W263" s="160">
        <v>0</v>
      </c>
      <c r="X263" s="160">
        <v>0</v>
      </c>
      <c r="Y263" s="160">
        <v>300000</v>
      </c>
      <c r="Z263" s="160">
        <f>ROUND(M263*1.5%,2)</f>
        <v>232169.05</v>
      </c>
      <c r="AA263" s="160">
        <v>0</v>
      </c>
      <c r="AB263" s="150">
        <v>2027</v>
      </c>
      <c r="AC263" s="150">
        <v>2027</v>
      </c>
      <c r="AD263" s="150">
        <v>2027</v>
      </c>
    </row>
    <row r="264" spans="1:30" x14ac:dyDescent="0.3">
      <c r="A264" s="121">
        <v>1</v>
      </c>
      <c r="B264" s="148">
        <f>SUBTOTAL(9,$A$201:A264)</f>
        <v>62</v>
      </c>
      <c r="C264" s="154" t="s">
        <v>650</v>
      </c>
      <c r="D264" s="163" t="s">
        <v>152</v>
      </c>
      <c r="E264" s="144">
        <f t="shared" si="70"/>
        <v>28178440.5</v>
      </c>
      <c r="F264" s="160">
        <v>0</v>
      </c>
      <c r="G264" s="160">
        <v>0</v>
      </c>
      <c r="H264" s="160">
        <v>0</v>
      </c>
      <c r="I264" s="160">
        <v>0</v>
      </c>
      <c r="J264" s="160">
        <v>0</v>
      </c>
      <c r="K264" s="160">
        <v>0</v>
      </c>
      <c r="L264" s="162">
        <v>7</v>
      </c>
      <c r="M264" s="160">
        <v>27466443.84</v>
      </c>
      <c r="N264" s="153">
        <v>0</v>
      </c>
      <c r="O264" s="153">
        <v>0</v>
      </c>
      <c r="P264" s="160">
        <v>0</v>
      </c>
      <c r="Q264" s="160">
        <v>0</v>
      </c>
      <c r="R264" s="160">
        <v>0</v>
      </c>
      <c r="S264" s="160">
        <v>0</v>
      </c>
      <c r="T264" s="160">
        <v>0</v>
      </c>
      <c r="U264" s="160">
        <v>0</v>
      </c>
      <c r="V264" s="160">
        <v>0</v>
      </c>
      <c r="W264" s="160">
        <v>0</v>
      </c>
      <c r="X264" s="160">
        <v>0</v>
      </c>
      <c r="Y264" s="160">
        <v>300000</v>
      </c>
      <c r="Z264" s="160">
        <f>ROUND(M264*1.5%,2)</f>
        <v>411996.66</v>
      </c>
      <c r="AA264" s="160">
        <v>0</v>
      </c>
      <c r="AB264" s="150">
        <v>2027</v>
      </c>
      <c r="AC264" s="150">
        <v>2027</v>
      </c>
      <c r="AD264" s="150">
        <v>2027</v>
      </c>
    </row>
    <row r="265" spans="1:30" x14ac:dyDescent="0.3">
      <c r="A265" s="121">
        <v>1</v>
      </c>
      <c r="B265" s="148">
        <f>SUBTOTAL(9,$A$201:A265)</f>
        <v>63</v>
      </c>
      <c r="C265" s="154" t="s">
        <v>756</v>
      </c>
      <c r="D265" s="163"/>
      <c r="E265" s="144">
        <f t="shared" si="70"/>
        <v>10665186.84</v>
      </c>
      <c r="F265" s="160">
        <v>0</v>
      </c>
      <c r="G265" s="160">
        <v>0</v>
      </c>
      <c r="H265" s="160">
        <v>0</v>
      </c>
      <c r="I265" s="160">
        <v>0</v>
      </c>
      <c r="J265" s="160">
        <v>0</v>
      </c>
      <c r="K265" s="160">
        <v>0</v>
      </c>
      <c r="L265" s="162">
        <v>0</v>
      </c>
      <c r="M265" s="160">
        <v>0</v>
      </c>
      <c r="N265" s="153">
        <v>920</v>
      </c>
      <c r="O265" s="153">
        <v>10212006.74</v>
      </c>
      <c r="P265" s="160">
        <v>0</v>
      </c>
      <c r="Q265" s="160">
        <v>0</v>
      </c>
      <c r="R265" s="160">
        <v>0</v>
      </c>
      <c r="S265" s="160">
        <v>0</v>
      </c>
      <c r="T265" s="160">
        <v>0</v>
      </c>
      <c r="U265" s="160">
        <v>0</v>
      </c>
      <c r="V265" s="160">
        <v>0</v>
      </c>
      <c r="W265" s="160">
        <v>0</v>
      </c>
      <c r="X265" s="160">
        <v>0</v>
      </c>
      <c r="Y265" s="160">
        <v>300000</v>
      </c>
      <c r="Z265" s="160">
        <f>ROUND(O265*1.5%,2)</f>
        <v>153180.1</v>
      </c>
      <c r="AA265" s="160">
        <v>0</v>
      </c>
      <c r="AB265" s="150">
        <v>2027</v>
      </c>
      <c r="AC265" s="150">
        <v>2027</v>
      </c>
      <c r="AD265" s="150">
        <v>2027</v>
      </c>
    </row>
    <row r="266" spans="1:30" x14ac:dyDescent="0.3">
      <c r="B266" s="141" t="s">
        <v>471</v>
      </c>
      <c r="C266" s="142"/>
      <c r="D266" s="143"/>
      <c r="E266" s="144">
        <f>SUM(E267:E279)</f>
        <v>201970693.61999997</v>
      </c>
      <c r="F266" s="144">
        <f t="shared" ref="F266:AA266" si="72">SUM(F267:F279)</f>
        <v>0</v>
      </c>
      <c r="G266" s="144">
        <f t="shared" si="72"/>
        <v>0</v>
      </c>
      <c r="H266" s="144">
        <f t="shared" si="72"/>
        <v>0</v>
      </c>
      <c r="I266" s="144">
        <f t="shared" si="72"/>
        <v>0</v>
      </c>
      <c r="J266" s="144">
        <f t="shared" si="72"/>
        <v>0</v>
      </c>
      <c r="K266" s="144">
        <f t="shared" si="72"/>
        <v>0</v>
      </c>
      <c r="L266" s="145">
        <f t="shared" si="72"/>
        <v>3</v>
      </c>
      <c r="M266" s="144">
        <f t="shared" si="72"/>
        <v>11982975.51</v>
      </c>
      <c r="N266" s="144">
        <f t="shared" si="72"/>
        <v>12588.58</v>
      </c>
      <c r="O266" s="144">
        <f t="shared" si="72"/>
        <v>160082649.47000003</v>
      </c>
      <c r="P266" s="144">
        <f t="shared" si="72"/>
        <v>0</v>
      </c>
      <c r="Q266" s="144">
        <f t="shared" si="72"/>
        <v>0</v>
      </c>
      <c r="R266" s="144">
        <f t="shared" si="72"/>
        <v>2080</v>
      </c>
      <c r="S266" s="144">
        <f t="shared" si="72"/>
        <v>23320091.43</v>
      </c>
      <c r="T266" s="144">
        <f t="shared" si="72"/>
        <v>0</v>
      </c>
      <c r="U266" s="144">
        <f t="shared" si="72"/>
        <v>0</v>
      </c>
      <c r="V266" s="144">
        <f t="shared" si="72"/>
        <v>0</v>
      </c>
      <c r="W266" s="144">
        <f t="shared" si="72"/>
        <v>0</v>
      </c>
      <c r="X266" s="144">
        <f t="shared" si="72"/>
        <v>0</v>
      </c>
      <c r="Y266" s="144">
        <f t="shared" si="72"/>
        <v>3654191.46</v>
      </c>
      <c r="Z266" s="144">
        <f t="shared" si="72"/>
        <v>2930785.75</v>
      </c>
      <c r="AA266" s="144">
        <f t="shared" si="72"/>
        <v>0</v>
      </c>
      <c r="AB266" s="146" t="s">
        <v>422</v>
      </c>
      <c r="AC266" s="146" t="s">
        <v>422</v>
      </c>
      <c r="AD266" s="146" t="s">
        <v>422</v>
      </c>
    </row>
    <row r="267" spans="1:30" x14ac:dyDescent="0.3">
      <c r="A267" s="121">
        <v>1</v>
      </c>
      <c r="B267" s="148">
        <f>SUBTOTAL(9,$A$201:A267)</f>
        <v>64</v>
      </c>
      <c r="C267" s="154" t="s">
        <v>402</v>
      </c>
      <c r="D267" s="163" t="s">
        <v>472</v>
      </c>
      <c r="E267" s="144">
        <f t="shared" ref="E267:E275" si="73">F267+G267+H267+I267+J267+K267+M267+O267+Q267+S267+U267+V267+W267+X267+Z267+AA267+Y267</f>
        <v>23869892.800000001</v>
      </c>
      <c r="F267" s="160">
        <v>0</v>
      </c>
      <c r="G267" s="160">
        <v>0</v>
      </c>
      <c r="H267" s="160">
        <v>0</v>
      </c>
      <c r="I267" s="160">
        <v>0</v>
      </c>
      <c r="J267" s="160">
        <v>0</v>
      </c>
      <c r="K267" s="160">
        <v>0</v>
      </c>
      <c r="L267" s="159">
        <v>0</v>
      </c>
      <c r="M267" s="158">
        <v>0</v>
      </c>
      <c r="N267" s="153">
        <v>0</v>
      </c>
      <c r="O267" s="153">
        <v>0</v>
      </c>
      <c r="P267" s="158">
        <v>0</v>
      </c>
      <c r="Q267" s="158">
        <v>0</v>
      </c>
      <c r="R267" s="153">
        <v>2080</v>
      </c>
      <c r="S267" s="153">
        <v>23320091.43</v>
      </c>
      <c r="T267" s="160">
        <v>0</v>
      </c>
      <c r="U267" s="160">
        <v>0</v>
      </c>
      <c r="V267" s="160">
        <v>0</v>
      </c>
      <c r="W267" s="160">
        <v>0</v>
      </c>
      <c r="X267" s="160">
        <v>0</v>
      </c>
      <c r="Y267" s="160">
        <v>200000</v>
      </c>
      <c r="Z267" s="160">
        <f>ROUND(S267*1.5%,2)</f>
        <v>349801.37</v>
      </c>
      <c r="AA267" s="160">
        <v>0</v>
      </c>
      <c r="AB267" s="150">
        <v>2027</v>
      </c>
      <c r="AC267" s="150">
        <v>2027</v>
      </c>
      <c r="AD267" s="150">
        <v>2027</v>
      </c>
    </row>
    <row r="268" spans="1:30" x14ac:dyDescent="0.3">
      <c r="A268" s="121">
        <v>1</v>
      </c>
      <c r="B268" s="148">
        <f>SUBTOTAL(9,$A$201:A268)</f>
        <v>65</v>
      </c>
      <c r="C268" s="154" t="s">
        <v>394</v>
      </c>
      <c r="D268" s="163" t="s">
        <v>472</v>
      </c>
      <c r="E268" s="144">
        <f t="shared" si="73"/>
        <v>11412364.49</v>
      </c>
      <c r="F268" s="160">
        <v>0</v>
      </c>
      <c r="G268" s="160">
        <v>0</v>
      </c>
      <c r="H268" s="160">
        <v>0</v>
      </c>
      <c r="I268" s="160">
        <v>0</v>
      </c>
      <c r="J268" s="160">
        <v>0</v>
      </c>
      <c r="K268" s="160">
        <v>0</v>
      </c>
      <c r="L268" s="159">
        <v>0</v>
      </c>
      <c r="M268" s="158">
        <v>0</v>
      </c>
      <c r="N268" s="153">
        <v>899</v>
      </c>
      <c r="O268" s="153">
        <v>11046664.52</v>
      </c>
      <c r="P268" s="158">
        <v>0</v>
      </c>
      <c r="Q268" s="158">
        <v>0</v>
      </c>
      <c r="R268" s="153">
        <v>0</v>
      </c>
      <c r="S268" s="153">
        <v>0</v>
      </c>
      <c r="T268" s="160">
        <v>0</v>
      </c>
      <c r="U268" s="160">
        <v>0</v>
      </c>
      <c r="V268" s="160">
        <v>0</v>
      </c>
      <c r="W268" s="160">
        <v>0</v>
      </c>
      <c r="X268" s="160">
        <v>0</v>
      </c>
      <c r="Y268" s="160">
        <v>200000</v>
      </c>
      <c r="Z268" s="160">
        <f t="shared" ref="Z268:Z275" si="74">ROUND(O268*1.5%,2)</f>
        <v>165699.97</v>
      </c>
      <c r="AA268" s="160">
        <v>0</v>
      </c>
      <c r="AB268" s="150">
        <v>2027</v>
      </c>
      <c r="AC268" s="150">
        <v>2027</v>
      </c>
      <c r="AD268" s="150">
        <v>2027</v>
      </c>
    </row>
    <row r="269" spans="1:30" x14ac:dyDescent="0.3">
      <c r="A269" s="121">
        <v>1</v>
      </c>
      <c r="B269" s="148">
        <f>SUBTOTAL(9,$A$201:A269)</f>
        <v>66</v>
      </c>
      <c r="C269" s="154" t="s">
        <v>393</v>
      </c>
      <c r="D269" s="163" t="s">
        <v>472</v>
      </c>
      <c r="E269" s="144">
        <f t="shared" si="73"/>
        <v>14459046.890000001</v>
      </c>
      <c r="F269" s="160">
        <v>0</v>
      </c>
      <c r="G269" s="160">
        <v>0</v>
      </c>
      <c r="H269" s="160">
        <v>0</v>
      </c>
      <c r="I269" s="160">
        <v>0</v>
      </c>
      <c r="J269" s="160">
        <v>0</v>
      </c>
      <c r="K269" s="160">
        <v>0</v>
      </c>
      <c r="L269" s="159">
        <v>0</v>
      </c>
      <c r="M269" s="158">
        <v>0</v>
      </c>
      <c r="N269" s="153">
        <v>1139</v>
      </c>
      <c r="O269" s="153">
        <v>14048322.060000001</v>
      </c>
      <c r="P269" s="158">
        <v>0</v>
      </c>
      <c r="Q269" s="158">
        <v>0</v>
      </c>
      <c r="R269" s="158">
        <v>0</v>
      </c>
      <c r="S269" s="158">
        <v>0</v>
      </c>
      <c r="T269" s="160">
        <v>0</v>
      </c>
      <c r="U269" s="160">
        <v>0</v>
      </c>
      <c r="V269" s="160">
        <v>0</v>
      </c>
      <c r="W269" s="160">
        <v>0</v>
      </c>
      <c r="X269" s="160">
        <v>0</v>
      </c>
      <c r="Y269" s="160">
        <v>200000</v>
      </c>
      <c r="Z269" s="160">
        <f t="shared" si="74"/>
        <v>210724.83</v>
      </c>
      <c r="AA269" s="160">
        <v>0</v>
      </c>
      <c r="AB269" s="150">
        <v>2027</v>
      </c>
      <c r="AC269" s="150">
        <v>2027</v>
      </c>
      <c r="AD269" s="150">
        <v>2027</v>
      </c>
    </row>
    <row r="270" spans="1:30" x14ac:dyDescent="0.3">
      <c r="A270" s="121">
        <v>1</v>
      </c>
      <c r="B270" s="148">
        <f>SUBTOTAL(9,$A$201:A270)</f>
        <v>67</v>
      </c>
      <c r="C270" s="154" t="s">
        <v>398</v>
      </c>
      <c r="D270" s="163" t="s">
        <v>472</v>
      </c>
      <c r="E270" s="144">
        <f t="shared" si="73"/>
        <v>15804553.699999999</v>
      </c>
      <c r="F270" s="160">
        <v>0</v>
      </c>
      <c r="G270" s="160">
        <v>0</v>
      </c>
      <c r="H270" s="160">
        <v>0</v>
      </c>
      <c r="I270" s="160">
        <v>0</v>
      </c>
      <c r="J270" s="160">
        <v>0</v>
      </c>
      <c r="K270" s="160">
        <v>0</v>
      </c>
      <c r="L270" s="159">
        <v>0</v>
      </c>
      <c r="M270" s="158">
        <v>0</v>
      </c>
      <c r="N270" s="153">
        <v>1222</v>
      </c>
      <c r="O270" s="153">
        <v>15324683.449999999</v>
      </c>
      <c r="P270" s="158">
        <v>0</v>
      </c>
      <c r="Q270" s="158">
        <v>0</v>
      </c>
      <c r="R270" s="153">
        <v>0</v>
      </c>
      <c r="S270" s="153">
        <v>0</v>
      </c>
      <c r="T270" s="160">
        <v>0</v>
      </c>
      <c r="U270" s="160">
        <v>0</v>
      </c>
      <c r="V270" s="160">
        <v>0</v>
      </c>
      <c r="W270" s="160">
        <v>0</v>
      </c>
      <c r="X270" s="160">
        <v>0</v>
      </c>
      <c r="Y270" s="160">
        <v>250000</v>
      </c>
      <c r="Z270" s="160">
        <f t="shared" si="74"/>
        <v>229870.25</v>
      </c>
      <c r="AA270" s="160">
        <v>0</v>
      </c>
      <c r="AB270" s="150">
        <v>2027</v>
      </c>
      <c r="AC270" s="150">
        <v>2027</v>
      </c>
      <c r="AD270" s="150">
        <v>2027</v>
      </c>
    </row>
    <row r="271" spans="1:30" x14ac:dyDescent="0.3">
      <c r="A271" s="121">
        <v>1</v>
      </c>
      <c r="B271" s="148">
        <f>SUBTOTAL(9,$A$201:A271)</f>
        <v>68</v>
      </c>
      <c r="C271" s="154" t="s">
        <v>405</v>
      </c>
      <c r="D271" s="163" t="s">
        <v>472</v>
      </c>
      <c r="E271" s="144">
        <f t="shared" si="73"/>
        <v>15933887.199999999</v>
      </c>
      <c r="F271" s="160">
        <v>0</v>
      </c>
      <c r="G271" s="160">
        <v>0</v>
      </c>
      <c r="H271" s="160">
        <v>0</v>
      </c>
      <c r="I271" s="160">
        <v>0</v>
      </c>
      <c r="J271" s="160">
        <v>0</v>
      </c>
      <c r="K271" s="160">
        <v>0</v>
      </c>
      <c r="L271" s="159">
        <v>0</v>
      </c>
      <c r="M271" s="158">
        <v>0</v>
      </c>
      <c r="N271" s="153">
        <v>1232</v>
      </c>
      <c r="O271" s="153">
        <v>15501366.699999999</v>
      </c>
      <c r="P271" s="158">
        <v>0</v>
      </c>
      <c r="Q271" s="158">
        <v>0</v>
      </c>
      <c r="R271" s="153">
        <v>0</v>
      </c>
      <c r="S271" s="153">
        <v>0</v>
      </c>
      <c r="T271" s="160">
        <v>0</v>
      </c>
      <c r="U271" s="160">
        <v>0</v>
      </c>
      <c r="V271" s="160">
        <v>0</v>
      </c>
      <c r="W271" s="160">
        <v>0</v>
      </c>
      <c r="X271" s="160">
        <v>0</v>
      </c>
      <c r="Y271" s="160">
        <v>200000</v>
      </c>
      <c r="Z271" s="160">
        <f t="shared" si="74"/>
        <v>232520.5</v>
      </c>
      <c r="AA271" s="160">
        <v>0</v>
      </c>
      <c r="AB271" s="150">
        <v>2027</v>
      </c>
      <c r="AC271" s="150">
        <v>2027</v>
      </c>
      <c r="AD271" s="150">
        <v>2027</v>
      </c>
    </row>
    <row r="272" spans="1:30" x14ac:dyDescent="0.3">
      <c r="A272" s="121">
        <v>1</v>
      </c>
      <c r="B272" s="148">
        <f>SUBTOTAL(9,$A$201:A272)</f>
        <v>69</v>
      </c>
      <c r="C272" s="154" t="s">
        <v>410</v>
      </c>
      <c r="D272" s="163" t="s">
        <v>472</v>
      </c>
      <c r="E272" s="144">
        <f t="shared" si="73"/>
        <v>8276820.5199999996</v>
      </c>
      <c r="F272" s="160">
        <v>0</v>
      </c>
      <c r="G272" s="160">
        <v>0</v>
      </c>
      <c r="H272" s="160">
        <v>0</v>
      </c>
      <c r="I272" s="160">
        <v>0</v>
      </c>
      <c r="J272" s="160">
        <v>0</v>
      </c>
      <c r="K272" s="160">
        <v>0</v>
      </c>
      <c r="L272" s="159">
        <v>0</v>
      </c>
      <c r="M272" s="158">
        <v>0</v>
      </c>
      <c r="N272" s="153">
        <v>652</v>
      </c>
      <c r="O272" s="153">
        <v>7957458.6399999997</v>
      </c>
      <c r="P272" s="158">
        <v>0</v>
      </c>
      <c r="Q272" s="158">
        <v>0</v>
      </c>
      <c r="R272" s="153">
        <v>0</v>
      </c>
      <c r="S272" s="153">
        <v>0</v>
      </c>
      <c r="T272" s="160">
        <v>0</v>
      </c>
      <c r="U272" s="160">
        <v>0</v>
      </c>
      <c r="V272" s="160">
        <v>0</v>
      </c>
      <c r="W272" s="160">
        <v>0</v>
      </c>
      <c r="X272" s="160">
        <v>0</v>
      </c>
      <c r="Y272" s="160">
        <v>200000</v>
      </c>
      <c r="Z272" s="160">
        <f t="shared" si="74"/>
        <v>119361.88</v>
      </c>
      <c r="AA272" s="160">
        <v>0</v>
      </c>
      <c r="AB272" s="150">
        <v>2027</v>
      </c>
      <c r="AC272" s="150">
        <v>2027</v>
      </c>
      <c r="AD272" s="150">
        <v>2027</v>
      </c>
    </row>
    <row r="273" spans="1:30" x14ac:dyDescent="0.3">
      <c r="A273" s="121">
        <v>1</v>
      </c>
      <c r="B273" s="148">
        <f>SUBTOTAL(9,$A$201:A273)</f>
        <v>70</v>
      </c>
      <c r="C273" s="154" t="s">
        <v>383</v>
      </c>
      <c r="D273" s="163" t="s">
        <v>472</v>
      </c>
      <c r="E273" s="144">
        <f t="shared" si="73"/>
        <v>16075992.4</v>
      </c>
      <c r="F273" s="160">
        <v>0</v>
      </c>
      <c r="G273" s="160">
        <v>0</v>
      </c>
      <c r="H273" s="160">
        <v>0</v>
      </c>
      <c r="I273" s="160">
        <v>0</v>
      </c>
      <c r="J273" s="160">
        <v>0</v>
      </c>
      <c r="K273" s="160">
        <v>0</v>
      </c>
      <c r="L273" s="159">
        <v>0</v>
      </c>
      <c r="M273" s="158">
        <v>0</v>
      </c>
      <c r="N273" s="153">
        <v>1240</v>
      </c>
      <c r="O273" s="153">
        <v>15641371.82</v>
      </c>
      <c r="P273" s="158">
        <v>0</v>
      </c>
      <c r="Q273" s="158">
        <v>0</v>
      </c>
      <c r="R273" s="153">
        <v>0</v>
      </c>
      <c r="S273" s="153">
        <v>0</v>
      </c>
      <c r="T273" s="160">
        <v>0</v>
      </c>
      <c r="U273" s="160">
        <v>0</v>
      </c>
      <c r="V273" s="160">
        <v>0</v>
      </c>
      <c r="W273" s="160">
        <v>0</v>
      </c>
      <c r="X273" s="160">
        <v>0</v>
      </c>
      <c r="Y273" s="160">
        <v>200000</v>
      </c>
      <c r="Z273" s="160">
        <f t="shared" si="74"/>
        <v>234620.58</v>
      </c>
      <c r="AA273" s="160">
        <v>0</v>
      </c>
      <c r="AB273" s="150">
        <v>2027</v>
      </c>
      <c r="AC273" s="150">
        <v>2027</v>
      </c>
      <c r="AD273" s="150">
        <v>2027</v>
      </c>
    </row>
    <row r="274" spans="1:30" x14ac:dyDescent="0.3">
      <c r="A274" s="121">
        <v>1</v>
      </c>
      <c r="B274" s="148">
        <f>SUBTOTAL(9,$A$201:A274)</f>
        <v>71</v>
      </c>
      <c r="C274" s="154" t="s">
        <v>385</v>
      </c>
      <c r="D274" s="163" t="s">
        <v>472</v>
      </c>
      <c r="E274" s="144">
        <f t="shared" si="73"/>
        <v>16159374</v>
      </c>
      <c r="F274" s="160">
        <v>0</v>
      </c>
      <c r="G274" s="160">
        <v>0</v>
      </c>
      <c r="H274" s="160">
        <v>0</v>
      </c>
      <c r="I274" s="160">
        <v>0</v>
      </c>
      <c r="J274" s="160">
        <v>0</v>
      </c>
      <c r="K274" s="160">
        <v>0</v>
      </c>
      <c r="L274" s="159">
        <v>0</v>
      </c>
      <c r="M274" s="158">
        <v>0</v>
      </c>
      <c r="N274" s="153">
        <v>900</v>
      </c>
      <c r="O274" s="153">
        <v>15723521.18</v>
      </c>
      <c r="P274" s="158">
        <v>0</v>
      </c>
      <c r="Q274" s="158">
        <v>0</v>
      </c>
      <c r="R274" s="153">
        <v>0</v>
      </c>
      <c r="S274" s="153">
        <v>0</v>
      </c>
      <c r="T274" s="160">
        <v>0</v>
      </c>
      <c r="U274" s="160">
        <v>0</v>
      </c>
      <c r="V274" s="160">
        <v>0</v>
      </c>
      <c r="W274" s="160">
        <v>0</v>
      </c>
      <c r="X274" s="160">
        <v>0</v>
      </c>
      <c r="Y274" s="160">
        <v>200000</v>
      </c>
      <c r="Z274" s="160">
        <f t="shared" si="74"/>
        <v>235852.82</v>
      </c>
      <c r="AA274" s="160">
        <v>0</v>
      </c>
      <c r="AB274" s="150">
        <v>2027</v>
      </c>
      <c r="AC274" s="150">
        <v>2027</v>
      </c>
      <c r="AD274" s="150">
        <v>2027</v>
      </c>
    </row>
    <row r="275" spans="1:30" x14ac:dyDescent="0.3">
      <c r="A275" s="121">
        <v>1</v>
      </c>
      <c r="B275" s="148">
        <f>SUBTOTAL(9,$A$201:A275)</f>
        <v>72</v>
      </c>
      <c r="C275" s="154" t="s">
        <v>401</v>
      </c>
      <c r="D275" s="163" t="s">
        <v>472</v>
      </c>
      <c r="E275" s="144">
        <f t="shared" si="73"/>
        <v>7610167.3700000001</v>
      </c>
      <c r="F275" s="160">
        <v>0</v>
      </c>
      <c r="G275" s="160">
        <v>0</v>
      </c>
      <c r="H275" s="160">
        <v>0</v>
      </c>
      <c r="I275" s="160">
        <v>0</v>
      </c>
      <c r="J275" s="160">
        <v>0</v>
      </c>
      <c r="K275" s="160">
        <v>0</v>
      </c>
      <c r="L275" s="173">
        <v>0</v>
      </c>
      <c r="M275" s="153">
        <v>0</v>
      </c>
      <c r="N275" s="153">
        <v>587</v>
      </c>
      <c r="O275" s="153">
        <v>7300657.5099999998</v>
      </c>
      <c r="P275" s="153">
        <v>0</v>
      </c>
      <c r="Q275" s="153">
        <v>0</v>
      </c>
      <c r="R275" s="153">
        <v>0</v>
      </c>
      <c r="S275" s="153">
        <v>0</v>
      </c>
      <c r="T275" s="160">
        <v>0</v>
      </c>
      <c r="U275" s="160">
        <v>0</v>
      </c>
      <c r="V275" s="160">
        <v>0</v>
      </c>
      <c r="W275" s="160">
        <v>0</v>
      </c>
      <c r="X275" s="160">
        <v>0</v>
      </c>
      <c r="Y275" s="160">
        <v>200000</v>
      </c>
      <c r="Z275" s="160">
        <f t="shared" si="74"/>
        <v>109509.86</v>
      </c>
      <c r="AA275" s="160">
        <v>0</v>
      </c>
      <c r="AB275" s="150">
        <v>2027</v>
      </c>
      <c r="AC275" s="150">
        <v>2027</v>
      </c>
      <c r="AD275" s="150">
        <v>2027</v>
      </c>
    </row>
    <row r="276" spans="1:30" x14ac:dyDescent="0.3">
      <c r="A276" s="121">
        <v>1</v>
      </c>
      <c r="B276" s="148">
        <f>SUBTOTAL(9,$A$201:A276)</f>
        <v>73</v>
      </c>
      <c r="C276" s="154" t="s">
        <v>403</v>
      </c>
      <c r="D276" s="163" t="s">
        <v>472</v>
      </c>
      <c r="E276" s="144">
        <f>F276+G276+H276+I276+J276+K276+M276+O276+Q276+S276+U276+V276+W276+X276+Z276+AA276+Y276</f>
        <v>12489844.5</v>
      </c>
      <c r="F276" s="160">
        <v>0</v>
      </c>
      <c r="G276" s="160">
        <v>0</v>
      </c>
      <c r="H276" s="160">
        <v>0</v>
      </c>
      <c r="I276" s="160">
        <v>0</v>
      </c>
      <c r="J276" s="160">
        <v>0</v>
      </c>
      <c r="K276" s="160">
        <v>0</v>
      </c>
      <c r="L276" s="159">
        <v>3</v>
      </c>
      <c r="M276" s="153">
        <v>11982975.51</v>
      </c>
      <c r="N276" s="153">
        <v>0</v>
      </c>
      <c r="O276" s="153">
        <v>0</v>
      </c>
      <c r="P276" s="158">
        <v>0</v>
      </c>
      <c r="Q276" s="158">
        <v>0</v>
      </c>
      <c r="R276" s="158">
        <v>0</v>
      </c>
      <c r="S276" s="158">
        <v>0</v>
      </c>
      <c r="T276" s="160">
        <v>0</v>
      </c>
      <c r="U276" s="160">
        <v>0</v>
      </c>
      <c r="V276" s="160">
        <v>0</v>
      </c>
      <c r="W276" s="160">
        <v>0</v>
      </c>
      <c r="X276" s="160">
        <v>0</v>
      </c>
      <c r="Y276" s="160">
        <v>327124.36</v>
      </c>
      <c r="Z276" s="160">
        <f>ROUND(M276*1.5%,2)</f>
        <v>179744.63</v>
      </c>
      <c r="AA276" s="160">
        <v>0</v>
      </c>
      <c r="AB276" s="150">
        <v>2027</v>
      </c>
      <c r="AC276" s="150">
        <v>2027</v>
      </c>
      <c r="AD276" s="150">
        <v>2027</v>
      </c>
    </row>
    <row r="277" spans="1:30" x14ac:dyDescent="0.3">
      <c r="A277" s="121">
        <v>1</v>
      </c>
      <c r="B277" s="148">
        <f>SUBTOTAL(9,$A$201:A277)</f>
        <v>74</v>
      </c>
      <c r="C277" s="154" t="s">
        <v>395</v>
      </c>
      <c r="D277" s="163" t="s">
        <v>472</v>
      </c>
      <c r="E277" s="144">
        <f>F277+G277+H277+I277+J277+K277+M277+O277+Q277+S277+U277+V277+W277+X277+Z277+AA277+Y277</f>
        <v>26150690.600000001</v>
      </c>
      <c r="F277" s="160">
        <v>0</v>
      </c>
      <c r="G277" s="160">
        <v>0</v>
      </c>
      <c r="H277" s="160">
        <v>0</v>
      </c>
      <c r="I277" s="160">
        <v>0</v>
      </c>
      <c r="J277" s="160">
        <v>0</v>
      </c>
      <c r="K277" s="160">
        <v>0</v>
      </c>
      <c r="L277" s="159">
        <v>0</v>
      </c>
      <c r="M277" s="158">
        <v>0</v>
      </c>
      <c r="N277" s="151">
        <v>2060</v>
      </c>
      <c r="O277" s="153">
        <v>25183583.690000001</v>
      </c>
      <c r="P277" s="153">
        <v>0</v>
      </c>
      <c r="Q277" s="176">
        <v>0</v>
      </c>
      <c r="R277" s="153">
        <v>0</v>
      </c>
      <c r="S277" s="176">
        <v>0</v>
      </c>
      <c r="T277" s="160">
        <v>0</v>
      </c>
      <c r="U277" s="160">
        <v>0</v>
      </c>
      <c r="V277" s="160">
        <v>0</v>
      </c>
      <c r="W277" s="160">
        <v>0</v>
      </c>
      <c r="X277" s="160">
        <v>0</v>
      </c>
      <c r="Y277" s="160">
        <v>589353.15</v>
      </c>
      <c r="Z277" s="160">
        <f>ROUND(O277*1.5%,2)</f>
        <v>377753.76</v>
      </c>
      <c r="AA277" s="160">
        <v>0</v>
      </c>
      <c r="AB277" s="150">
        <v>2027</v>
      </c>
      <c r="AC277" s="150">
        <v>2027</v>
      </c>
      <c r="AD277" s="150">
        <v>2027</v>
      </c>
    </row>
    <row r="278" spans="1:30" x14ac:dyDescent="0.3">
      <c r="A278" s="121">
        <v>1</v>
      </c>
      <c r="B278" s="148">
        <f>SUBTOTAL(9,$A$201:A278)</f>
        <v>75</v>
      </c>
      <c r="C278" s="154" t="s">
        <v>388</v>
      </c>
      <c r="D278" s="163" t="s">
        <v>472</v>
      </c>
      <c r="E278" s="144">
        <f>F278+G278+H278+I278+J278+K278+M278+O278+Q278+S278+U278+V278+W278+X278+Z278+AA278+Y278</f>
        <v>18706376.049999997</v>
      </c>
      <c r="F278" s="160">
        <v>0</v>
      </c>
      <c r="G278" s="160">
        <v>0</v>
      </c>
      <c r="H278" s="160">
        <v>0</v>
      </c>
      <c r="I278" s="160">
        <v>0</v>
      </c>
      <c r="J278" s="160">
        <v>0</v>
      </c>
      <c r="K278" s="160">
        <v>0</v>
      </c>
      <c r="L278" s="159">
        <v>0</v>
      </c>
      <c r="M278" s="153">
        <v>0</v>
      </c>
      <c r="N278" s="153">
        <v>1473.58</v>
      </c>
      <c r="O278" s="153">
        <v>17949420.789999999</v>
      </c>
      <c r="P278" s="158">
        <v>0</v>
      </c>
      <c r="Q278" s="158">
        <v>0</v>
      </c>
      <c r="R278" s="158">
        <v>0</v>
      </c>
      <c r="S278" s="158">
        <v>0</v>
      </c>
      <c r="T278" s="160">
        <v>0</v>
      </c>
      <c r="U278" s="160">
        <v>0</v>
      </c>
      <c r="V278" s="160">
        <v>0</v>
      </c>
      <c r="W278" s="160">
        <v>0</v>
      </c>
      <c r="X278" s="160">
        <v>0</v>
      </c>
      <c r="Y278" s="160">
        <v>487713.95</v>
      </c>
      <c r="Z278" s="160">
        <f>ROUND(O278*1.5%,2)</f>
        <v>269241.31</v>
      </c>
      <c r="AA278" s="160">
        <v>0</v>
      </c>
      <c r="AB278" s="150">
        <v>2027</v>
      </c>
      <c r="AC278" s="150">
        <v>2027</v>
      </c>
      <c r="AD278" s="150">
        <v>2027</v>
      </c>
    </row>
    <row r="279" spans="1:30" x14ac:dyDescent="0.3">
      <c r="A279" s="121">
        <v>1</v>
      </c>
      <c r="B279" s="148">
        <f>SUBTOTAL(9,$A$201:A279)</f>
        <v>76</v>
      </c>
      <c r="C279" s="154" t="s">
        <v>783</v>
      </c>
      <c r="D279" s="163"/>
      <c r="E279" s="144">
        <f>F279+G279+H279+I279+J279+K279+M279+O279+Q279+S279+U279+V279+W279+X279+Z279+AA279+Y279</f>
        <v>15021683.1</v>
      </c>
      <c r="F279" s="160">
        <v>0</v>
      </c>
      <c r="G279" s="160">
        <v>0</v>
      </c>
      <c r="H279" s="160">
        <v>0</v>
      </c>
      <c r="I279" s="160">
        <v>0</v>
      </c>
      <c r="J279" s="160">
        <v>0</v>
      </c>
      <c r="K279" s="160">
        <v>0</v>
      </c>
      <c r="L279" s="159">
        <v>0</v>
      </c>
      <c r="M279" s="153">
        <v>0</v>
      </c>
      <c r="N279" s="153">
        <v>1184</v>
      </c>
      <c r="O279" s="153">
        <v>14405599.109999999</v>
      </c>
      <c r="P279" s="158">
        <v>0</v>
      </c>
      <c r="Q279" s="158">
        <v>0</v>
      </c>
      <c r="R279" s="158">
        <v>0</v>
      </c>
      <c r="S279" s="158">
        <v>0</v>
      </c>
      <c r="T279" s="160">
        <v>0</v>
      </c>
      <c r="U279" s="160">
        <v>0</v>
      </c>
      <c r="V279" s="160">
        <v>0</v>
      </c>
      <c r="W279" s="160">
        <v>0</v>
      </c>
      <c r="X279" s="160">
        <v>0</v>
      </c>
      <c r="Y279" s="160">
        <v>400000</v>
      </c>
      <c r="Z279" s="160">
        <f>ROUND(O279*1.5%,2)</f>
        <v>216083.99</v>
      </c>
      <c r="AA279" s="160">
        <v>0</v>
      </c>
      <c r="AB279" s="150">
        <v>2027</v>
      </c>
      <c r="AC279" s="150">
        <v>2027</v>
      </c>
      <c r="AD279" s="150">
        <v>2027</v>
      </c>
    </row>
    <row r="280" spans="1:30" x14ac:dyDescent="0.3">
      <c r="B280" s="141" t="s">
        <v>415</v>
      </c>
      <c r="C280" s="142"/>
      <c r="D280" s="143"/>
      <c r="E280" s="144">
        <f>E281+E282</f>
        <v>50610672.200000003</v>
      </c>
      <c r="F280" s="144">
        <f t="shared" ref="F280:AA280" si="75">F281+F282</f>
        <v>4896214.3</v>
      </c>
      <c r="G280" s="144">
        <f t="shared" si="75"/>
        <v>7806992.2000000002</v>
      </c>
      <c r="H280" s="144">
        <f t="shared" si="75"/>
        <v>2917405.06</v>
      </c>
      <c r="I280" s="144">
        <f t="shared" si="75"/>
        <v>6357522.6500000004</v>
      </c>
      <c r="J280" s="144">
        <f t="shared" si="75"/>
        <v>10984965.5</v>
      </c>
      <c r="K280" s="144">
        <f t="shared" si="75"/>
        <v>0</v>
      </c>
      <c r="L280" s="145">
        <f t="shared" si="75"/>
        <v>4</v>
      </c>
      <c r="M280" s="144">
        <f t="shared" si="75"/>
        <v>16160715.27</v>
      </c>
      <c r="N280" s="144">
        <f t="shared" si="75"/>
        <v>0</v>
      </c>
      <c r="O280" s="144">
        <f t="shared" si="75"/>
        <v>0</v>
      </c>
      <c r="P280" s="144">
        <f t="shared" si="75"/>
        <v>0</v>
      </c>
      <c r="Q280" s="144">
        <f t="shared" si="75"/>
        <v>0</v>
      </c>
      <c r="R280" s="144">
        <f t="shared" si="75"/>
        <v>0</v>
      </c>
      <c r="S280" s="144">
        <f t="shared" si="75"/>
        <v>0</v>
      </c>
      <c r="T280" s="144">
        <f t="shared" si="75"/>
        <v>0</v>
      </c>
      <c r="U280" s="144">
        <f t="shared" si="75"/>
        <v>0</v>
      </c>
      <c r="V280" s="144">
        <f t="shared" si="75"/>
        <v>0</v>
      </c>
      <c r="W280" s="144">
        <f t="shared" si="75"/>
        <v>0</v>
      </c>
      <c r="X280" s="144">
        <f t="shared" si="75"/>
        <v>0</v>
      </c>
      <c r="Y280" s="144">
        <f t="shared" si="75"/>
        <v>750000</v>
      </c>
      <c r="Z280" s="144">
        <f t="shared" si="75"/>
        <v>736857.22</v>
      </c>
      <c r="AA280" s="144">
        <f t="shared" si="75"/>
        <v>0</v>
      </c>
      <c r="AB280" s="146" t="s">
        <v>422</v>
      </c>
      <c r="AC280" s="146" t="s">
        <v>422</v>
      </c>
      <c r="AD280" s="146" t="s">
        <v>422</v>
      </c>
    </row>
    <row r="281" spans="1:30" x14ac:dyDescent="0.3">
      <c r="A281" s="121">
        <v>1</v>
      </c>
      <c r="B281" s="148">
        <f>SUBTOTAL(9,$A$201:A281)</f>
        <v>77</v>
      </c>
      <c r="C281" s="154" t="s">
        <v>154</v>
      </c>
      <c r="D281" s="163" t="s">
        <v>608</v>
      </c>
      <c r="E281" s="144">
        <f>F281+G281+H281+I281+J281+K281+M281+O281+Q281+S281+U281+V281+W281+X281+Y281+Z281+AA281</f>
        <v>33957546.200000003</v>
      </c>
      <c r="F281" s="144">
        <v>4896214.3</v>
      </c>
      <c r="G281" s="144">
        <v>7806992.2000000002</v>
      </c>
      <c r="H281" s="144">
        <v>2917405.06</v>
      </c>
      <c r="I281" s="144">
        <v>6357522.6500000004</v>
      </c>
      <c r="J281" s="144">
        <v>10984965.5</v>
      </c>
      <c r="K281" s="160">
        <v>0</v>
      </c>
      <c r="L281" s="162">
        <v>0</v>
      </c>
      <c r="M281" s="160">
        <v>0</v>
      </c>
      <c r="N281" s="160">
        <v>0</v>
      </c>
      <c r="O281" s="160">
        <v>0</v>
      </c>
      <c r="P281" s="160">
        <v>0</v>
      </c>
      <c r="Q281" s="160">
        <v>0</v>
      </c>
      <c r="R281" s="160">
        <v>0</v>
      </c>
      <c r="S281" s="160">
        <v>0</v>
      </c>
      <c r="T281" s="160">
        <v>0</v>
      </c>
      <c r="U281" s="160">
        <v>0</v>
      </c>
      <c r="V281" s="160">
        <v>0</v>
      </c>
      <c r="W281" s="160">
        <v>0</v>
      </c>
      <c r="X281" s="160">
        <v>0</v>
      </c>
      <c r="Y281" s="160">
        <v>500000</v>
      </c>
      <c r="Z281" s="160">
        <f>ROUND(F281*1.5%,2)+ROUND(G281*1.5%,2)+ROUND(H281*1.5%,2)+ROUND(I281*1.5%,2)+ROUND(J281*1.5%,2)</f>
        <v>494446.49</v>
      </c>
      <c r="AA281" s="160">
        <v>0</v>
      </c>
      <c r="AB281" s="150">
        <v>2027</v>
      </c>
      <c r="AC281" s="150">
        <v>2027</v>
      </c>
      <c r="AD281" s="150">
        <v>2027</v>
      </c>
    </row>
    <row r="282" spans="1:30" x14ac:dyDescent="0.3">
      <c r="A282" s="121">
        <v>1</v>
      </c>
      <c r="B282" s="148">
        <f>SUBTOTAL(9,$A$201:A282)</f>
        <v>78</v>
      </c>
      <c r="C282" s="154" t="s">
        <v>155</v>
      </c>
      <c r="D282" s="163" t="s">
        <v>608</v>
      </c>
      <c r="E282" s="144">
        <f t="shared" ref="E282" si="76">F282+G282+H282+I282+J282+K282+M282+O282+Q282+S282+U282+V282+W282+X282+Y282+Z282+AA282</f>
        <v>16653126</v>
      </c>
      <c r="F282" s="160">
        <v>0</v>
      </c>
      <c r="G282" s="160">
        <v>0</v>
      </c>
      <c r="H282" s="160">
        <v>0</v>
      </c>
      <c r="I282" s="160">
        <v>0</v>
      </c>
      <c r="J282" s="160">
        <v>0</v>
      </c>
      <c r="K282" s="160">
        <v>0</v>
      </c>
      <c r="L282" s="162">
        <v>4</v>
      </c>
      <c r="M282" s="160">
        <v>16160715.27</v>
      </c>
      <c r="N282" s="160">
        <v>0</v>
      </c>
      <c r="O282" s="160">
        <v>0</v>
      </c>
      <c r="P282" s="160">
        <v>0</v>
      </c>
      <c r="Q282" s="160">
        <v>0</v>
      </c>
      <c r="R282" s="160">
        <v>0</v>
      </c>
      <c r="S282" s="160">
        <v>0</v>
      </c>
      <c r="T282" s="160">
        <v>0</v>
      </c>
      <c r="U282" s="160">
        <v>0</v>
      </c>
      <c r="V282" s="160">
        <v>0</v>
      </c>
      <c r="W282" s="160">
        <v>0</v>
      </c>
      <c r="X282" s="160">
        <v>0</v>
      </c>
      <c r="Y282" s="160">
        <v>250000</v>
      </c>
      <c r="Z282" s="160">
        <v>242410.73</v>
      </c>
      <c r="AA282" s="160">
        <v>0</v>
      </c>
      <c r="AB282" s="150">
        <v>2027</v>
      </c>
      <c r="AC282" s="150">
        <v>2027</v>
      </c>
      <c r="AD282" s="150">
        <v>2027</v>
      </c>
    </row>
    <row r="283" spans="1:30" x14ac:dyDescent="0.3">
      <c r="B283" s="147" t="s">
        <v>676</v>
      </c>
      <c r="C283" s="147"/>
      <c r="D283" s="172"/>
      <c r="E283" s="153">
        <f>SUM(E284:E298)</f>
        <v>180300665.99000001</v>
      </c>
      <c r="F283" s="153">
        <f t="shared" ref="F283:AA283" si="77">SUM(F284:F298)</f>
        <v>2154470.94</v>
      </c>
      <c r="G283" s="153">
        <f t="shared" si="77"/>
        <v>3493865.44</v>
      </c>
      <c r="H283" s="153">
        <f t="shared" si="77"/>
        <v>0</v>
      </c>
      <c r="I283" s="153">
        <f t="shared" si="77"/>
        <v>2826892</v>
      </c>
      <c r="J283" s="153">
        <f t="shared" si="77"/>
        <v>0</v>
      </c>
      <c r="K283" s="153">
        <f t="shared" si="77"/>
        <v>0</v>
      </c>
      <c r="L283" s="173">
        <f t="shared" si="77"/>
        <v>4</v>
      </c>
      <c r="M283" s="153">
        <f t="shared" si="77"/>
        <v>15914409.859999999</v>
      </c>
      <c r="N283" s="153">
        <f t="shared" si="77"/>
        <v>12074.449999999999</v>
      </c>
      <c r="O283" s="153">
        <f t="shared" si="77"/>
        <v>149256338.11999997</v>
      </c>
      <c r="P283" s="153">
        <f t="shared" si="77"/>
        <v>0</v>
      </c>
      <c r="Q283" s="153">
        <f t="shared" si="77"/>
        <v>0</v>
      </c>
      <c r="R283" s="153">
        <f t="shared" si="77"/>
        <v>0</v>
      </c>
      <c r="S283" s="153">
        <f t="shared" si="77"/>
        <v>0</v>
      </c>
      <c r="T283" s="153">
        <f t="shared" si="77"/>
        <v>0</v>
      </c>
      <c r="U283" s="153">
        <f t="shared" si="77"/>
        <v>0</v>
      </c>
      <c r="V283" s="153">
        <f t="shared" si="77"/>
        <v>0</v>
      </c>
      <c r="W283" s="153">
        <f t="shared" si="77"/>
        <v>0</v>
      </c>
      <c r="X283" s="153">
        <f t="shared" si="77"/>
        <v>0</v>
      </c>
      <c r="Y283" s="153">
        <f t="shared" si="77"/>
        <v>4050000</v>
      </c>
      <c r="Z283" s="153">
        <f t="shared" si="77"/>
        <v>2604689.63</v>
      </c>
      <c r="AA283" s="153">
        <f t="shared" si="77"/>
        <v>0</v>
      </c>
      <c r="AB283" s="146" t="s">
        <v>422</v>
      </c>
      <c r="AC283" s="146" t="s">
        <v>422</v>
      </c>
      <c r="AD283" s="146" t="s">
        <v>422</v>
      </c>
    </row>
    <row r="284" spans="1:30" x14ac:dyDescent="0.3">
      <c r="A284" s="121">
        <v>1</v>
      </c>
      <c r="B284" s="148">
        <f>SUBTOTAL(9,$A$201:A284)</f>
        <v>79</v>
      </c>
      <c r="C284" s="154" t="s">
        <v>327</v>
      </c>
      <c r="D284" s="163" t="s">
        <v>609</v>
      </c>
      <c r="E284" s="144">
        <f t="shared" ref="E284:E292" si="78">F284+G284+H284+I284+J284+K284+M284+O284+Q284+S284+U284+V284+W284+X284+Z284+AA284+Y284</f>
        <v>13580017.5</v>
      </c>
      <c r="F284" s="160">
        <v>0</v>
      </c>
      <c r="G284" s="160">
        <v>0</v>
      </c>
      <c r="H284" s="160">
        <v>0</v>
      </c>
      <c r="I284" s="160">
        <v>0</v>
      </c>
      <c r="J284" s="160">
        <v>0</v>
      </c>
      <c r="K284" s="160">
        <v>0</v>
      </c>
      <c r="L284" s="159">
        <v>0</v>
      </c>
      <c r="M284" s="160">
        <v>0</v>
      </c>
      <c r="N284" s="160">
        <v>1050</v>
      </c>
      <c r="O284" s="160">
        <v>13083761.08</v>
      </c>
      <c r="P284" s="160">
        <v>0</v>
      </c>
      <c r="Q284" s="160">
        <v>0</v>
      </c>
      <c r="R284" s="160">
        <v>0</v>
      </c>
      <c r="S284" s="160">
        <v>0</v>
      </c>
      <c r="T284" s="160">
        <v>0</v>
      </c>
      <c r="U284" s="160">
        <v>0</v>
      </c>
      <c r="V284" s="160">
        <v>0</v>
      </c>
      <c r="W284" s="160">
        <v>0</v>
      </c>
      <c r="X284" s="160">
        <v>0</v>
      </c>
      <c r="Y284" s="160">
        <v>300000</v>
      </c>
      <c r="Z284" s="160">
        <f>ROUND(O284*1.5%,2)</f>
        <v>196256.42</v>
      </c>
      <c r="AA284" s="160">
        <v>0</v>
      </c>
      <c r="AB284" s="150">
        <v>2027</v>
      </c>
      <c r="AC284" s="150">
        <v>2027</v>
      </c>
      <c r="AD284" s="150">
        <v>2027</v>
      </c>
    </row>
    <row r="285" spans="1:30" x14ac:dyDescent="0.3">
      <c r="A285" s="121">
        <v>1</v>
      </c>
      <c r="B285" s="148">
        <f>SUBTOTAL(9,$A$201:A285)</f>
        <v>80</v>
      </c>
      <c r="C285" s="154" t="s">
        <v>341</v>
      </c>
      <c r="D285" s="163" t="s">
        <v>609</v>
      </c>
      <c r="E285" s="144">
        <f t="shared" si="78"/>
        <v>15131855.92</v>
      </c>
      <c r="F285" s="160">
        <v>0</v>
      </c>
      <c r="G285" s="160">
        <v>0</v>
      </c>
      <c r="H285" s="160">
        <v>0</v>
      </c>
      <c r="I285" s="160">
        <v>0</v>
      </c>
      <c r="J285" s="160">
        <v>0</v>
      </c>
      <c r="K285" s="160">
        <v>0</v>
      </c>
      <c r="L285" s="159">
        <v>0</v>
      </c>
      <c r="M285" s="160">
        <v>0</v>
      </c>
      <c r="N285" s="160">
        <v>1192</v>
      </c>
      <c r="O285" s="160">
        <v>14612665.93</v>
      </c>
      <c r="P285" s="160">
        <v>0</v>
      </c>
      <c r="Q285" s="160">
        <v>0</v>
      </c>
      <c r="R285" s="160">
        <v>0</v>
      </c>
      <c r="S285" s="160">
        <v>0</v>
      </c>
      <c r="T285" s="160">
        <v>0</v>
      </c>
      <c r="U285" s="160">
        <v>0</v>
      </c>
      <c r="V285" s="160">
        <v>0</v>
      </c>
      <c r="W285" s="160">
        <v>0</v>
      </c>
      <c r="X285" s="160">
        <v>0</v>
      </c>
      <c r="Y285" s="160">
        <v>300000</v>
      </c>
      <c r="Z285" s="160">
        <f t="shared" ref="Z285:Z297" si="79">ROUND(O285*1.5%,2)</f>
        <v>219189.99</v>
      </c>
      <c r="AA285" s="160">
        <v>0</v>
      </c>
      <c r="AB285" s="150">
        <v>2027</v>
      </c>
      <c r="AC285" s="150">
        <v>2027</v>
      </c>
      <c r="AD285" s="150">
        <v>2027</v>
      </c>
    </row>
    <row r="286" spans="1:30" x14ac:dyDescent="0.3">
      <c r="A286" s="121">
        <v>1</v>
      </c>
      <c r="B286" s="148">
        <f>SUBTOTAL(9,$A$201:A286)</f>
        <v>81</v>
      </c>
      <c r="C286" s="154" t="s">
        <v>325</v>
      </c>
      <c r="D286" s="163" t="s">
        <v>609</v>
      </c>
      <c r="E286" s="144">
        <f t="shared" si="78"/>
        <v>18753357.5</v>
      </c>
      <c r="F286" s="160">
        <v>0</v>
      </c>
      <c r="G286" s="160">
        <v>0</v>
      </c>
      <c r="H286" s="160">
        <v>0</v>
      </c>
      <c r="I286" s="160">
        <v>0</v>
      </c>
      <c r="J286" s="160">
        <v>0</v>
      </c>
      <c r="K286" s="160">
        <v>0</v>
      </c>
      <c r="L286" s="159">
        <v>0</v>
      </c>
      <c r="M286" s="160">
        <v>0</v>
      </c>
      <c r="N286" s="160">
        <v>1450</v>
      </c>
      <c r="O286" s="160">
        <v>18180647.780000001</v>
      </c>
      <c r="P286" s="160">
        <v>0</v>
      </c>
      <c r="Q286" s="160">
        <v>0</v>
      </c>
      <c r="R286" s="160">
        <v>0</v>
      </c>
      <c r="S286" s="160">
        <v>0</v>
      </c>
      <c r="T286" s="160">
        <v>0</v>
      </c>
      <c r="U286" s="160">
        <v>0</v>
      </c>
      <c r="V286" s="160">
        <v>0</v>
      </c>
      <c r="W286" s="160">
        <v>0</v>
      </c>
      <c r="X286" s="160">
        <v>0</v>
      </c>
      <c r="Y286" s="160">
        <v>300000</v>
      </c>
      <c r="Z286" s="160">
        <f t="shared" si="79"/>
        <v>272709.71999999997</v>
      </c>
      <c r="AA286" s="160">
        <v>0</v>
      </c>
      <c r="AB286" s="150">
        <v>2027</v>
      </c>
      <c r="AC286" s="150">
        <v>2027</v>
      </c>
      <c r="AD286" s="150">
        <v>2027</v>
      </c>
    </row>
    <row r="287" spans="1:30" x14ac:dyDescent="0.3">
      <c r="A287" s="121">
        <v>1</v>
      </c>
      <c r="B287" s="148">
        <f>SUBTOTAL(9,$A$201:A287)</f>
        <v>82</v>
      </c>
      <c r="C287" s="154" t="s">
        <v>345</v>
      </c>
      <c r="D287" s="163" t="s">
        <v>609</v>
      </c>
      <c r="E287" s="144">
        <f t="shared" si="78"/>
        <v>11412364.49</v>
      </c>
      <c r="F287" s="160">
        <v>0</v>
      </c>
      <c r="G287" s="160">
        <v>0</v>
      </c>
      <c r="H287" s="160">
        <v>0</v>
      </c>
      <c r="I287" s="160">
        <v>0</v>
      </c>
      <c r="J287" s="160">
        <v>0</v>
      </c>
      <c r="K287" s="160">
        <v>0</v>
      </c>
      <c r="L287" s="159">
        <v>0</v>
      </c>
      <c r="M287" s="160">
        <v>0</v>
      </c>
      <c r="N287" s="160">
        <v>899</v>
      </c>
      <c r="O287" s="160">
        <v>10997403.439999999</v>
      </c>
      <c r="P287" s="160">
        <v>0</v>
      </c>
      <c r="Q287" s="160">
        <v>0</v>
      </c>
      <c r="R287" s="160">
        <v>0</v>
      </c>
      <c r="S287" s="160">
        <v>0</v>
      </c>
      <c r="T287" s="160">
        <v>0</v>
      </c>
      <c r="U287" s="160">
        <v>0</v>
      </c>
      <c r="V287" s="160">
        <v>0</v>
      </c>
      <c r="W287" s="160">
        <v>0</v>
      </c>
      <c r="X287" s="160">
        <v>0</v>
      </c>
      <c r="Y287" s="160">
        <v>250000</v>
      </c>
      <c r="Z287" s="160">
        <f t="shared" si="79"/>
        <v>164961.04999999999</v>
      </c>
      <c r="AA287" s="160">
        <v>0</v>
      </c>
      <c r="AB287" s="150">
        <v>2027</v>
      </c>
      <c r="AC287" s="150">
        <v>2027</v>
      </c>
      <c r="AD287" s="150">
        <v>2027</v>
      </c>
    </row>
    <row r="288" spans="1:30" x14ac:dyDescent="0.3">
      <c r="A288" s="121">
        <v>1</v>
      </c>
      <c r="B288" s="148">
        <f>SUBTOTAL(9,$A$201:A288)</f>
        <v>83</v>
      </c>
      <c r="C288" s="154" t="s">
        <v>339</v>
      </c>
      <c r="D288" s="163" t="s">
        <v>609</v>
      </c>
      <c r="E288" s="144">
        <f t="shared" si="78"/>
        <v>12933350</v>
      </c>
      <c r="F288" s="160">
        <v>0</v>
      </c>
      <c r="G288" s="160">
        <v>0</v>
      </c>
      <c r="H288" s="160">
        <v>0</v>
      </c>
      <c r="I288" s="160">
        <v>0</v>
      </c>
      <c r="J288" s="160">
        <v>0</v>
      </c>
      <c r="K288" s="160">
        <v>0</v>
      </c>
      <c r="L288" s="159">
        <v>0</v>
      </c>
      <c r="M288" s="160">
        <v>0</v>
      </c>
      <c r="N288" s="160">
        <v>1000</v>
      </c>
      <c r="O288" s="160">
        <v>12446650.25</v>
      </c>
      <c r="P288" s="160">
        <v>0</v>
      </c>
      <c r="Q288" s="160">
        <v>0</v>
      </c>
      <c r="R288" s="160">
        <v>0</v>
      </c>
      <c r="S288" s="160">
        <v>0</v>
      </c>
      <c r="T288" s="160">
        <v>0</v>
      </c>
      <c r="U288" s="160">
        <v>0</v>
      </c>
      <c r="V288" s="160">
        <v>0</v>
      </c>
      <c r="W288" s="160">
        <v>0</v>
      </c>
      <c r="X288" s="160">
        <v>0</v>
      </c>
      <c r="Y288" s="160">
        <v>300000</v>
      </c>
      <c r="Z288" s="160">
        <f t="shared" si="79"/>
        <v>186699.75</v>
      </c>
      <c r="AA288" s="160">
        <v>0</v>
      </c>
      <c r="AB288" s="150">
        <v>2027</v>
      </c>
      <c r="AC288" s="150">
        <v>2027</v>
      </c>
      <c r="AD288" s="150">
        <v>2027</v>
      </c>
    </row>
    <row r="289" spans="1:30" x14ac:dyDescent="0.3">
      <c r="A289" s="121">
        <v>1</v>
      </c>
      <c r="B289" s="148">
        <f>SUBTOTAL(9,$A$201:A289)</f>
        <v>84</v>
      </c>
      <c r="C289" s="154" t="s">
        <v>337</v>
      </c>
      <c r="D289" s="163" t="s">
        <v>609</v>
      </c>
      <c r="E289" s="144">
        <f t="shared" si="78"/>
        <v>16304955.59</v>
      </c>
      <c r="F289" s="160">
        <v>0</v>
      </c>
      <c r="G289" s="160">
        <v>0</v>
      </c>
      <c r="H289" s="160">
        <v>0</v>
      </c>
      <c r="I289" s="160">
        <v>0</v>
      </c>
      <c r="J289" s="160">
        <v>0</v>
      </c>
      <c r="K289" s="160">
        <v>0</v>
      </c>
      <c r="L289" s="159">
        <v>0</v>
      </c>
      <c r="M289" s="160">
        <v>0</v>
      </c>
      <c r="N289" s="160">
        <v>1284.4100000000001</v>
      </c>
      <c r="O289" s="160">
        <v>15768429.15</v>
      </c>
      <c r="P289" s="160">
        <v>0</v>
      </c>
      <c r="Q289" s="160">
        <v>0</v>
      </c>
      <c r="R289" s="160">
        <v>0</v>
      </c>
      <c r="S289" s="160">
        <v>0</v>
      </c>
      <c r="T289" s="160">
        <v>0</v>
      </c>
      <c r="U289" s="160">
        <v>0</v>
      </c>
      <c r="V289" s="160">
        <v>0</v>
      </c>
      <c r="W289" s="160">
        <v>0</v>
      </c>
      <c r="X289" s="160">
        <v>0</v>
      </c>
      <c r="Y289" s="160">
        <v>300000</v>
      </c>
      <c r="Z289" s="160">
        <f t="shared" si="79"/>
        <v>236526.44</v>
      </c>
      <c r="AA289" s="160">
        <v>0</v>
      </c>
      <c r="AB289" s="150">
        <v>2027</v>
      </c>
      <c r="AC289" s="150">
        <v>2027</v>
      </c>
      <c r="AD289" s="150">
        <v>2027</v>
      </c>
    </row>
    <row r="290" spans="1:30" x14ac:dyDescent="0.3">
      <c r="A290" s="121">
        <v>1</v>
      </c>
      <c r="B290" s="148">
        <f>SUBTOTAL(9,$A$201:A290)</f>
        <v>85</v>
      </c>
      <c r="C290" s="154" t="s">
        <v>335</v>
      </c>
      <c r="D290" s="163" t="s">
        <v>609</v>
      </c>
      <c r="E290" s="144">
        <f t="shared" si="78"/>
        <v>11353153.299999999</v>
      </c>
      <c r="F290" s="160">
        <v>0</v>
      </c>
      <c r="G290" s="160">
        <v>0</v>
      </c>
      <c r="H290" s="160">
        <v>0</v>
      </c>
      <c r="I290" s="160">
        <v>0</v>
      </c>
      <c r="J290" s="160">
        <v>0</v>
      </c>
      <c r="K290" s="160">
        <v>0</v>
      </c>
      <c r="L290" s="159">
        <v>0</v>
      </c>
      <c r="M290" s="160">
        <v>0</v>
      </c>
      <c r="N290" s="160">
        <v>877.82</v>
      </c>
      <c r="O290" s="160">
        <v>10939067.289999999</v>
      </c>
      <c r="P290" s="160">
        <v>0</v>
      </c>
      <c r="Q290" s="160">
        <v>0</v>
      </c>
      <c r="R290" s="160">
        <v>0</v>
      </c>
      <c r="S290" s="160">
        <v>0</v>
      </c>
      <c r="T290" s="160">
        <v>0</v>
      </c>
      <c r="U290" s="160">
        <v>0</v>
      </c>
      <c r="V290" s="160">
        <v>0</v>
      </c>
      <c r="W290" s="160">
        <v>0</v>
      </c>
      <c r="X290" s="160">
        <v>0</v>
      </c>
      <c r="Y290" s="160">
        <v>250000</v>
      </c>
      <c r="Z290" s="160">
        <f t="shared" si="79"/>
        <v>164086.01</v>
      </c>
      <c r="AA290" s="160">
        <v>0</v>
      </c>
      <c r="AB290" s="150">
        <v>2027</v>
      </c>
      <c r="AC290" s="150">
        <v>2027</v>
      </c>
      <c r="AD290" s="150">
        <v>2027</v>
      </c>
    </row>
    <row r="291" spans="1:30" x14ac:dyDescent="0.3">
      <c r="A291" s="121">
        <v>1</v>
      </c>
      <c r="B291" s="148">
        <f>SUBTOTAL(9,$A$201:A291)</f>
        <v>86</v>
      </c>
      <c r="C291" s="154" t="s">
        <v>332</v>
      </c>
      <c r="D291" s="163" t="s">
        <v>609</v>
      </c>
      <c r="E291" s="144">
        <f t="shared" si="78"/>
        <v>11252014.5</v>
      </c>
      <c r="F291" s="160">
        <v>0</v>
      </c>
      <c r="G291" s="160">
        <v>0</v>
      </c>
      <c r="H291" s="160">
        <v>0</v>
      </c>
      <c r="I291" s="160">
        <v>0</v>
      </c>
      <c r="J291" s="160">
        <v>0</v>
      </c>
      <c r="K291" s="160">
        <v>0</v>
      </c>
      <c r="L291" s="159">
        <v>0</v>
      </c>
      <c r="M291" s="160">
        <v>0</v>
      </c>
      <c r="N291" s="160">
        <v>870</v>
      </c>
      <c r="O291" s="160">
        <v>10839423.15</v>
      </c>
      <c r="P291" s="160">
        <v>0</v>
      </c>
      <c r="Q291" s="160">
        <v>0</v>
      </c>
      <c r="R291" s="160">
        <v>0</v>
      </c>
      <c r="S291" s="160">
        <v>0</v>
      </c>
      <c r="T291" s="160">
        <v>0</v>
      </c>
      <c r="U291" s="160">
        <v>0</v>
      </c>
      <c r="V291" s="160">
        <v>0</v>
      </c>
      <c r="W291" s="160">
        <v>0</v>
      </c>
      <c r="X291" s="160">
        <v>0</v>
      </c>
      <c r="Y291" s="160">
        <v>250000</v>
      </c>
      <c r="Z291" s="160">
        <f t="shared" si="79"/>
        <v>162591.35</v>
      </c>
      <c r="AA291" s="160">
        <v>0</v>
      </c>
      <c r="AB291" s="150">
        <v>2027</v>
      </c>
      <c r="AC291" s="150">
        <v>2027</v>
      </c>
      <c r="AD291" s="150">
        <v>2027</v>
      </c>
    </row>
    <row r="292" spans="1:30" x14ac:dyDescent="0.3">
      <c r="A292" s="121">
        <v>1</v>
      </c>
      <c r="B292" s="148">
        <f>SUBTOTAL(9,$A$201:A292)</f>
        <v>87</v>
      </c>
      <c r="C292" s="154" t="s">
        <v>344</v>
      </c>
      <c r="D292" s="163" t="s">
        <v>609</v>
      </c>
      <c r="E292" s="144">
        <f t="shared" si="78"/>
        <v>11510681.5</v>
      </c>
      <c r="F292" s="160">
        <v>0</v>
      </c>
      <c r="G292" s="160">
        <v>0</v>
      </c>
      <c r="H292" s="160">
        <v>0</v>
      </c>
      <c r="I292" s="160">
        <v>0</v>
      </c>
      <c r="J292" s="160">
        <v>0</v>
      </c>
      <c r="K292" s="160">
        <v>0</v>
      </c>
      <c r="L292" s="159">
        <v>0</v>
      </c>
      <c r="M292" s="160">
        <v>0</v>
      </c>
      <c r="N292" s="160">
        <v>890</v>
      </c>
      <c r="O292" s="160">
        <v>11094267.49</v>
      </c>
      <c r="P292" s="160">
        <v>0</v>
      </c>
      <c r="Q292" s="160">
        <v>0</v>
      </c>
      <c r="R292" s="160">
        <v>0</v>
      </c>
      <c r="S292" s="160">
        <v>0</v>
      </c>
      <c r="T292" s="160">
        <v>0</v>
      </c>
      <c r="U292" s="160">
        <v>0</v>
      </c>
      <c r="V292" s="160">
        <v>0</v>
      </c>
      <c r="W292" s="160">
        <v>0</v>
      </c>
      <c r="X292" s="160">
        <v>0</v>
      </c>
      <c r="Y292" s="160">
        <v>250000</v>
      </c>
      <c r="Z292" s="160">
        <f t="shared" si="79"/>
        <v>166414.01</v>
      </c>
      <c r="AA292" s="160">
        <v>0</v>
      </c>
      <c r="AB292" s="150">
        <v>2027</v>
      </c>
      <c r="AC292" s="150">
        <v>2027</v>
      </c>
      <c r="AD292" s="150">
        <v>2027</v>
      </c>
    </row>
    <row r="293" spans="1:30" x14ac:dyDescent="0.3">
      <c r="A293" s="121">
        <v>1</v>
      </c>
      <c r="B293" s="148">
        <f>SUBTOTAL(9,$A$201:A293)</f>
        <v>88</v>
      </c>
      <c r="C293" s="154" t="s">
        <v>328</v>
      </c>
      <c r="D293" s="163" t="s">
        <v>609</v>
      </c>
      <c r="E293" s="144">
        <f t="shared" ref="E293:E298" si="80">F293+G293+H293+I293+J293+K293+M293+O293+Q293+S293+U293+V293+W293+X293+Z293+AA293+Y293</f>
        <v>8326563</v>
      </c>
      <c r="F293" s="160">
        <v>0</v>
      </c>
      <c r="G293" s="160">
        <v>0</v>
      </c>
      <c r="H293" s="160">
        <v>0</v>
      </c>
      <c r="I293" s="160">
        <v>0</v>
      </c>
      <c r="J293" s="160">
        <v>0</v>
      </c>
      <c r="K293" s="160">
        <v>0</v>
      </c>
      <c r="L293" s="159">
        <v>2</v>
      </c>
      <c r="M293" s="160">
        <v>7957204.9299999997</v>
      </c>
      <c r="N293" s="160">
        <v>0</v>
      </c>
      <c r="O293" s="160">
        <v>0</v>
      </c>
      <c r="P293" s="160">
        <v>0</v>
      </c>
      <c r="Q293" s="160">
        <v>0</v>
      </c>
      <c r="R293" s="160">
        <v>0</v>
      </c>
      <c r="S293" s="160">
        <v>0</v>
      </c>
      <c r="T293" s="160">
        <v>0</v>
      </c>
      <c r="U293" s="160">
        <v>0</v>
      </c>
      <c r="V293" s="160">
        <v>0</v>
      </c>
      <c r="W293" s="160">
        <v>0</v>
      </c>
      <c r="X293" s="160">
        <v>0</v>
      </c>
      <c r="Y293" s="160">
        <v>250000</v>
      </c>
      <c r="Z293" s="160">
        <f>ROUND(M293*1.5%,2)</f>
        <v>119358.07</v>
      </c>
      <c r="AA293" s="160">
        <v>0</v>
      </c>
      <c r="AB293" s="150">
        <v>2027</v>
      </c>
      <c r="AC293" s="150">
        <v>2027</v>
      </c>
      <c r="AD293" s="150">
        <v>2027</v>
      </c>
    </row>
    <row r="294" spans="1:30" x14ac:dyDescent="0.3">
      <c r="A294" s="121">
        <v>1</v>
      </c>
      <c r="B294" s="148">
        <f>SUBTOTAL(9,$A$201:A294)</f>
        <v>89</v>
      </c>
      <c r="C294" s="154" t="s">
        <v>329</v>
      </c>
      <c r="D294" s="163" t="s">
        <v>609</v>
      </c>
      <c r="E294" s="144">
        <f t="shared" si="80"/>
        <v>8326563</v>
      </c>
      <c r="F294" s="160">
        <v>0</v>
      </c>
      <c r="G294" s="160">
        <v>0</v>
      </c>
      <c r="H294" s="160">
        <v>0</v>
      </c>
      <c r="I294" s="160">
        <v>0</v>
      </c>
      <c r="J294" s="160">
        <v>0</v>
      </c>
      <c r="K294" s="160">
        <v>0</v>
      </c>
      <c r="L294" s="159">
        <v>2</v>
      </c>
      <c r="M294" s="160">
        <v>7957204.9299999997</v>
      </c>
      <c r="N294" s="160">
        <v>0</v>
      </c>
      <c r="O294" s="160">
        <v>0</v>
      </c>
      <c r="P294" s="160">
        <v>0</v>
      </c>
      <c r="Q294" s="160">
        <v>0</v>
      </c>
      <c r="R294" s="160">
        <v>0</v>
      </c>
      <c r="S294" s="160">
        <v>0</v>
      </c>
      <c r="T294" s="160">
        <v>0</v>
      </c>
      <c r="U294" s="160">
        <v>0</v>
      </c>
      <c r="V294" s="160">
        <v>0</v>
      </c>
      <c r="W294" s="160">
        <v>0</v>
      </c>
      <c r="X294" s="160">
        <v>0</v>
      </c>
      <c r="Y294" s="160">
        <v>250000</v>
      </c>
      <c r="Z294" s="160">
        <f>ROUND(M294*1.5%,2)</f>
        <v>119358.07</v>
      </c>
      <c r="AA294" s="160">
        <v>0</v>
      </c>
      <c r="AB294" s="150">
        <v>2027</v>
      </c>
      <c r="AC294" s="150">
        <v>2027</v>
      </c>
      <c r="AD294" s="150">
        <v>2027</v>
      </c>
    </row>
    <row r="295" spans="1:30" x14ac:dyDescent="0.3">
      <c r="A295" s="121">
        <v>1</v>
      </c>
      <c r="B295" s="148">
        <f>SUBTOTAL(9,$A$201:A295)</f>
        <v>90</v>
      </c>
      <c r="C295" s="154" t="s">
        <v>351</v>
      </c>
      <c r="D295" s="163" t="s">
        <v>609</v>
      </c>
      <c r="E295" s="144">
        <f t="shared" si="80"/>
        <v>5009253.6399999997</v>
      </c>
      <c r="F295" s="160">
        <v>0</v>
      </c>
      <c r="G295" s="160">
        <v>0</v>
      </c>
      <c r="H295" s="160">
        <v>0</v>
      </c>
      <c r="I295" s="160">
        <v>0</v>
      </c>
      <c r="J295" s="160">
        <v>0</v>
      </c>
      <c r="K295" s="160">
        <v>0</v>
      </c>
      <c r="L295" s="159">
        <v>0</v>
      </c>
      <c r="M295" s="160">
        <v>0</v>
      </c>
      <c r="N295" s="160">
        <v>394.6</v>
      </c>
      <c r="O295" s="160">
        <v>4738180.93</v>
      </c>
      <c r="P295" s="160">
        <v>0</v>
      </c>
      <c r="Q295" s="160">
        <v>0</v>
      </c>
      <c r="R295" s="160">
        <v>0</v>
      </c>
      <c r="S295" s="160">
        <v>0</v>
      </c>
      <c r="T295" s="160">
        <v>0</v>
      </c>
      <c r="U295" s="160">
        <v>0</v>
      </c>
      <c r="V295" s="160">
        <v>0</v>
      </c>
      <c r="W295" s="160">
        <v>0</v>
      </c>
      <c r="X295" s="160">
        <v>0</v>
      </c>
      <c r="Y295" s="160">
        <v>200000</v>
      </c>
      <c r="Z295" s="160">
        <f t="shared" si="79"/>
        <v>71072.710000000006</v>
      </c>
      <c r="AA295" s="160">
        <v>0</v>
      </c>
      <c r="AB295" s="150">
        <v>2027</v>
      </c>
      <c r="AC295" s="150">
        <v>2027</v>
      </c>
      <c r="AD295" s="150">
        <v>2027</v>
      </c>
    </row>
    <row r="296" spans="1:30" x14ac:dyDescent="0.3">
      <c r="A296" s="121">
        <v>1</v>
      </c>
      <c r="B296" s="148">
        <f>SUBTOTAL(9,$A$201:A296)</f>
        <v>91</v>
      </c>
      <c r="C296" s="154" t="s">
        <v>350</v>
      </c>
      <c r="D296" s="163" t="s">
        <v>609</v>
      </c>
      <c r="E296" s="144">
        <f t="shared" si="80"/>
        <v>4651014.57</v>
      </c>
      <c r="F296" s="160">
        <v>0</v>
      </c>
      <c r="G296" s="160">
        <v>0</v>
      </c>
      <c r="H296" s="160">
        <v>0</v>
      </c>
      <c r="I296" s="160">
        <v>0</v>
      </c>
      <c r="J296" s="160">
        <v>0</v>
      </c>
      <c r="K296" s="160">
        <v>0</v>
      </c>
      <c r="L296" s="159">
        <v>0</v>
      </c>
      <c r="M296" s="160">
        <v>0</v>
      </c>
      <c r="N296" s="160">
        <v>366.38</v>
      </c>
      <c r="O296" s="160">
        <v>4385236.03</v>
      </c>
      <c r="P296" s="160">
        <v>0</v>
      </c>
      <c r="Q296" s="160">
        <v>0</v>
      </c>
      <c r="R296" s="160">
        <v>0</v>
      </c>
      <c r="S296" s="160">
        <v>0</v>
      </c>
      <c r="T296" s="160">
        <v>0</v>
      </c>
      <c r="U296" s="160">
        <v>0</v>
      </c>
      <c r="V296" s="160">
        <v>0</v>
      </c>
      <c r="W296" s="160">
        <v>0</v>
      </c>
      <c r="X296" s="160">
        <v>0</v>
      </c>
      <c r="Y296" s="160">
        <v>200000</v>
      </c>
      <c r="Z296" s="160">
        <f t="shared" si="79"/>
        <v>65778.539999999994</v>
      </c>
      <c r="AA296" s="160">
        <v>0</v>
      </c>
      <c r="AB296" s="150">
        <v>2027</v>
      </c>
      <c r="AC296" s="150">
        <v>2027</v>
      </c>
      <c r="AD296" s="150">
        <v>2027</v>
      </c>
    </row>
    <row r="297" spans="1:30" x14ac:dyDescent="0.3">
      <c r="A297" s="121">
        <v>1</v>
      </c>
      <c r="B297" s="148">
        <f>SUBTOTAL(9,$A$201:A297)</f>
        <v>92</v>
      </c>
      <c r="C297" s="154" t="s">
        <v>360</v>
      </c>
      <c r="D297" s="163" t="s">
        <v>609</v>
      </c>
      <c r="E297" s="144">
        <f t="shared" si="80"/>
        <v>22853164.68</v>
      </c>
      <c r="F297" s="160">
        <v>0</v>
      </c>
      <c r="G297" s="160">
        <v>0</v>
      </c>
      <c r="H297" s="160">
        <v>0</v>
      </c>
      <c r="I297" s="160">
        <v>0</v>
      </c>
      <c r="J297" s="160">
        <v>0</v>
      </c>
      <c r="K297" s="160">
        <v>0</v>
      </c>
      <c r="L297" s="159">
        <v>0</v>
      </c>
      <c r="M297" s="160">
        <v>0</v>
      </c>
      <c r="N297" s="160">
        <v>1800.24</v>
      </c>
      <c r="O297" s="160">
        <v>22170605.600000001</v>
      </c>
      <c r="P297" s="160">
        <v>0</v>
      </c>
      <c r="Q297" s="160">
        <v>0</v>
      </c>
      <c r="R297" s="160">
        <v>0</v>
      </c>
      <c r="S297" s="160">
        <v>0</v>
      </c>
      <c r="T297" s="160">
        <v>0</v>
      </c>
      <c r="U297" s="160">
        <v>0</v>
      </c>
      <c r="V297" s="160">
        <v>0</v>
      </c>
      <c r="W297" s="160">
        <v>0</v>
      </c>
      <c r="X297" s="160">
        <v>0</v>
      </c>
      <c r="Y297" s="160">
        <v>350000</v>
      </c>
      <c r="Z297" s="160">
        <f t="shared" si="79"/>
        <v>332559.08</v>
      </c>
      <c r="AA297" s="160">
        <v>0</v>
      </c>
      <c r="AB297" s="150">
        <v>2027</v>
      </c>
      <c r="AC297" s="150">
        <v>2027</v>
      </c>
      <c r="AD297" s="150">
        <v>2027</v>
      </c>
    </row>
    <row r="298" spans="1:30" x14ac:dyDescent="0.3">
      <c r="A298" s="121">
        <v>1</v>
      </c>
      <c r="B298" s="148">
        <f>SUBTOTAL(9,$A$201:A298)</f>
        <v>93</v>
      </c>
      <c r="C298" s="154" t="s">
        <v>361</v>
      </c>
      <c r="D298" s="163" t="s">
        <v>609</v>
      </c>
      <c r="E298" s="144">
        <f t="shared" si="80"/>
        <v>8902356.7999999989</v>
      </c>
      <c r="F298" s="160">
        <v>2154470.94</v>
      </c>
      <c r="G298" s="160">
        <v>3493865.44</v>
      </c>
      <c r="H298" s="160">
        <v>0</v>
      </c>
      <c r="I298" s="160">
        <v>2826892</v>
      </c>
      <c r="J298" s="160">
        <v>0</v>
      </c>
      <c r="K298" s="160">
        <v>0</v>
      </c>
      <c r="L298" s="159">
        <v>0</v>
      </c>
      <c r="M298" s="160">
        <v>0</v>
      </c>
      <c r="N298" s="160">
        <v>0</v>
      </c>
      <c r="O298" s="160">
        <v>0</v>
      </c>
      <c r="P298" s="160">
        <v>0</v>
      </c>
      <c r="Q298" s="160">
        <v>0</v>
      </c>
      <c r="R298" s="160">
        <v>0</v>
      </c>
      <c r="S298" s="160">
        <v>0</v>
      </c>
      <c r="T298" s="160">
        <v>0</v>
      </c>
      <c r="U298" s="160">
        <v>0</v>
      </c>
      <c r="V298" s="160">
        <v>0</v>
      </c>
      <c r="W298" s="160">
        <v>0</v>
      </c>
      <c r="X298" s="160">
        <v>0</v>
      </c>
      <c r="Y298" s="160">
        <v>300000</v>
      </c>
      <c r="Z298" s="160">
        <f>ROUND(F298*1.5%,2)+ROUND(G298*1.5%,2)+ROUND(I298*1.5%,2)</f>
        <v>127128.42000000001</v>
      </c>
      <c r="AA298" s="160">
        <v>0</v>
      </c>
      <c r="AB298" s="150">
        <v>2027</v>
      </c>
      <c r="AC298" s="150">
        <v>2027</v>
      </c>
      <c r="AD298" s="150">
        <v>2027</v>
      </c>
    </row>
    <row r="299" spans="1:30" x14ac:dyDescent="0.3">
      <c r="B299" s="147" t="s">
        <v>502</v>
      </c>
      <c r="C299" s="147"/>
      <c r="D299" s="172"/>
      <c r="E299" s="153">
        <f>E300+E301+E302+E303</f>
        <v>71465182.770000011</v>
      </c>
      <c r="F299" s="153">
        <f t="shared" ref="F299:AA299" si="81">F300+F301+F302+F303</f>
        <v>0</v>
      </c>
      <c r="G299" s="153">
        <f t="shared" si="81"/>
        <v>0</v>
      </c>
      <c r="H299" s="153">
        <f t="shared" si="81"/>
        <v>0</v>
      </c>
      <c r="I299" s="153">
        <f t="shared" si="81"/>
        <v>0</v>
      </c>
      <c r="J299" s="153">
        <f t="shared" si="81"/>
        <v>0</v>
      </c>
      <c r="K299" s="153">
        <f t="shared" si="81"/>
        <v>0</v>
      </c>
      <c r="L299" s="159">
        <f t="shared" si="81"/>
        <v>0</v>
      </c>
      <c r="M299" s="153">
        <f t="shared" si="81"/>
        <v>0</v>
      </c>
      <c r="N299" s="153">
        <f t="shared" si="81"/>
        <v>5935</v>
      </c>
      <c r="O299" s="153">
        <f t="shared" si="81"/>
        <v>69276042.140000001</v>
      </c>
      <c r="P299" s="153">
        <f t="shared" si="81"/>
        <v>0</v>
      </c>
      <c r="Q299" s="153">
        <f t="shared" si="81"/>
        <v>0</v>
      </c>
      <c r="R299" s="153">
        <f t="shared" si="81"/>
        <v>0</v>
      </c>
      <c r="S299" s="153">
        <f t="shared" si="81"/>
        <v>0</v>
      </c>
      <c r="T299" s="153">
        <f t="shared" si="81"/>
        <v>0</v>
      </c>
      <c r="U299" s="153">
        <f t="shared" si="81"/>
        <v>0</v>
      </c>
      <c r="V299" s="153">
        <f t="shared" si="81"/>
        <v>0</v>
      </c>
      <c r="W299" s="153">
        <f t="shared" si="81"/>
        <v>0</v>
      </c>
      <c r="X299" s="153">
        <f t="shared" si="81"/>
        <v>0</v>
      </c>
      <c r="Y299" s="153">
        <f t="shared" si="81"/>
        <v>1150000</v>
      </c>
      <c r="Z299" s="153">
        <f t="shared" si="81"/>
        <v>1039140.63</v>
      </c>
      <c r="AA299" s="153">
        <f t="shared" si="81"/>
        <v>0</v>
      </c>
      <c r="AB299" s="146" t="s">
        <v>422</v>
      </c>
      <c r="AC299" s="146" t="s">
        <v>422</v>
      </c>
      <c r="AD299" s="146" t="s">
        <v>422</v>
      </c>
    </row>
    <row r="300" spans="1:30" x14ac:dyDescent="0.3">
      <c r="A300" s="121">
        <v>1</v>
      </c>
      <c r="B300" s="148">
        <f>SUBTOTAL(9,$A$201:A300)</f>
        <v>94</v>
      </c>
      <c r="C300" s="154" t="s">
        <v>379</v>
      </c>
      <c r="D300" s="163" t="s">
        <v>610</v>
      </c>
      <c r="E300" s="144">
        <f>F300+G300+H300+I300+J300+K300+M300+O300+Q300+S300+U300+V300+W300+X300+Z300+AA300+Y300</f>
        <v>7045453.0499999998</v>
      </c>
      <c r="F300" s="160">
        <v>0</v>
      </c>
      <c r="G300" s="160">
        <v>0</v>
      </c>
      <c r="H300" s="160">
        <v>0</v>
      </c>
      <c r="I300" s="160">
        <v>0</v>
      </c>
      <c r="J300" s="160">
        <v>0</v>
      </c>
      <c r="K300" s="160">
        <v>0</v>
      </c>
      <c r="L300" s="162">
        <v>0</v>
      </c>
      <c r="M300" s="160">
        <v>0</v>
      </c>
      <c r="N300" s="160">
        <v>555</v>
      </c>
      <c r="O300" s="160">
        <v>6744288.7199999997</v>
      </c>
      <c r="P300" s="160">
        <v>0</v>
      </c>
      <c r="Q300" s="160">
        <v>0</v>
      </c>
      <c r="R300" s="160">
        <v>0</v>
      </c>
      <c r="S300" s="160">
        <v>0</v>
      </c>
      <c r="T300" s="160">
        <v>0</v>
      </c>
      <c r="U300" s="160">
        <v>0</v>
      </c>
      <c r="V300" s="160">
        <v>0</v>
      </c>
      <c r="W300" s="160">
        <v>0</v>
      </c>
      <c r="X300" s="160">
        <v>0</v>
      </c>
      <c r="Y300" s="160">
        <v>200000</v>
      </c>
      <c r="Z300" s="160">
        <f>ROUND(O300*1.5%,2)</f>
        <v>101164.33</v>
      </c>
      <c r="AA300" s="160">
        <v>0</v>
      </c>
      <c r="AB300" s="150">
        <v>2027</v>
      </c>
      <c r="AC300" s="150">
        <v>2027</v>
      </c>
      <c r="AD300" s="150">
        <v>2027</v>
      </c>
    </row>
    <row r="301" spans="1:30" x14ac:dyDescent="0.3">
      <c r="A301" s="121">
        <v>1</v>
      </c>
      <c r="B301" s="148">
        <f>SUBTOTAL(9,$A$201:A301)</f>
        <v>95</v>
      </c>
      <c r="C301" s="154" t="s">
        <v>368</v>
      </c>
      <c r="D301" s="163" t="s">
        <v>610</v>
      </c>
      <c r="E301" s="144">
        <f>F301+G301+H301+I301+J301+K301+M301+O301+Q301+S301+U301+V301+W301+X301+Z301+AA301+Y301</f>
        <v>16502863</v>
      </c>
      <c r="F301" s="160">
        <v>0</v>
      </c>
      <c r="G301" s="160">
        <v>0</v>
      </c>
      <c r="H301" s="160">
        <v>0</v>
      </c>
      <c r="I301" s="160">
        <v>0</v>
      </c>
      <c r="J301" s="160">
        <v>0</v>
      </c>
      <c r="K301" s="160">
        <v>0</v>
      </c>
      <c r="L301" s="162">
        <v>0</v>
      </c>
      <c r="M301" s="160">
        <v>0</v>
      </c>
      <c r="N301" s="160">
        <v>1300</v>
      </c>
      <c r="O301" s="160">
        <v>15963411.82</v>
      </c>
      <c r="P301" s="160">
        <v>0</v>
      </c>
      <c r="Q301" s="160">
        <v>0</v>
      </c>
      <c r="R301" s="160">
        <v>0</v>
      </c>
      <c r="S301" s="160">
        <v>0</v>
      </c>
      <c r="T301" s="160">
        <v>0</v>
      </c>
      <c r="U301" s="160">
        <v>0</v>
      </c>
      <c r="V301" s="160">
        <v>0</v>
      </c>
      <c r="W301" s="160">
        <v>0</v>
      </c>
      <c r="X301" s="160">
        <v>0</v>
      </c>
      <c r="Y301" s="160">
        <v>300000</v>
      </c>
      <c r="Z301" s="160">
        <f>ROUND(O301*1.5%,2)</f>
        <v>239451.18</v>
      </c>
      <c r="AA301" s="160">
        <v>0</v>
      </c>
      <c r="AB301" s="150">
        <v>2027</v>
      </c>
      <c r="AC301" s="150">
        <v>2027</v>
      </c>
      <c r="AD301" s="150">
        <v>2027</v>
      </c>
    </row>
    <row r="302" spans="1:30" x14ac:dyDescent="0.3">
      <c r="A302" s="121">
        <v>1</v>
      </c>
      <c r="B302" s="148">
        <f>SUBTOTAL(9,$A$201:A302)</f>
        <v>96</v>
      </c>
      <c r="C302" s="154" t="s">
        <v>374</v>
      </c>
      <c r="D302" s="163" t="s">
        <v>610</v>
      </c>
      <c r="E302" s="144">
        <f>F302+G302+H302+I302+J302+K302+M302+O302+Q302+S302+U302+V302+W302+X302+Z302+AA302+Y302</f>
        <v>9901717.8000000007</v>
      </c>
      <c r="F302" s="160">
        <v>0</v>
      </c>
      <c r="G302" s="160">
        <v>0</v>
      </c>
      <c r="H302" s="160">
        <v>0</v>
      </c>
      <c r="I302" s="160">
        <v>0</v>
      </c>
      <c r="J302" s="160">
        <v>0</v>
      </c>
      <c r="K302" s="160">
        <v>0</v>
      </c>
      <c r="L302" s="162">
        <v>0</v>
      </c>
      <c r="M302" s="160">
        <v>0</v>
      </c>
      <c r="N302" s="160">
        <v>780</v>
      </c>
      <c r="O302" s="160">
        <v>9509081.5800000001</v>
      </c>
      <c r="P302" s="160">
        <v>0</v>
      </c>
      <c r="Q302" s="160">
        <v>0</v>
      </c>
      <c r="R302" s="160">
        <v>0</v>
      </c>
      <c r="S302" s="160">
        <v>0</v>
      </c>
      <c r="T302" s="160">
        <v>0</v>
      </c>
      <c r="U302" s="160">
        <v>0</v>
      </c>
      <c r="V302" s="160">
        <v>0</v>
      </c>
      <c r="W302" s="160">
        <v>0</v>
      </c>
      <c r="X302" s="160">
        <v>0</v>
      </c>
      <c r="Y302" s="160">
        <v>250000</v>
      </c>
      <c r="Z302" s="160">
        <f>ROUND(O302*1.5%,2)</f>
        <v>142636.22</v>
      </c>
      <c r="AA302" s="160">
        <v>0</v>
      </c>
      <c r="AB302" s="150">
        <v>2027</v>
      </c>
      <c r="AC302" s="150">
        <v>2027</v>
      </c>
      <c r="AD302" s="150">
        <v>2027</v>
      </c>
    </row>
    <row r="303" spans="1:30" x14ac:dyDescent="0.3">
      <c r="A303" s="121">
        <v>1</v>
      </c>
      <c r="B303" s="148">
        <f>SUBTOTAL(9,$A$201:A303)</f>
        <v>97</v>
      </c>
      <c r="C303" s="154" t="s">
        <v>365</v>
      </c>
      <c r="D303" s="163" t="s">
        <v>610</v>
      </c>
      <c r="E303" s="144">
        <f>F303+G303+H303+I303+J303+K303+M303+O303+Q303+S303+U303+V303+W303+X303+Z303+AA303+Y303</f>
        <v>38015148.920000002</v>
      </c>
      <c r="F303" s="160">
        <v>0</v>
      </c>
      <c r="G303" s="160">
        <v>0</v>
      </c>
      <c r="H303" s="160">
        <v>0</v>
      </c>
      <c r="I303" s="160">
        <v>0</v>
      </c>
      <c r="J303" s="160">
        <v>0</v>
      </c>
      <c r="K303" s="160">
        <v>0</v>
      </c>
      <c r="L303" s="162">
        <v>0</v>
      </c>
      <c r="M303" s="160">
        <v>0</v>
      </c>
      <c r="N303" s="160">
        <v>3300</v>
      </c>
      <c r="O303" s="160">
        <v>37059260.020000003</v>
      </c>
      <c r="P303" s="160">
        <v>0</v>
      </c>
      <c r="Q303" s="160">
        <v>0</v>
      </c>
      <c r="R303" s="160">
        <v>0</v>
      </c>
      <c r="S303" s="160">
        <v>0</v>
      </c>
      <c r="T303" s="160">
        <v>0</v>
      </c>
      <c r="U303" s="160">
        <v>0</v>
      </c>
      <c r="V303" s="160">
        <v>0</v>
      </c>
      <c r="W303" s="160">
        <v>0</v>
      </c>
      <c r="X303" s="160">
        <v>0</v>
      </c>
      <c r="Y303" s="160">
        <v>400000</v>
      </c>
      <c r="Z303" s="160">
        <f>ROUND(O303*1.5%,2)</f>
        <v>555888.9</v>
      </c>
      <c r="AA303" s="160">
        <v>0</v>
      </c>
      <c r="AB303" s="150">
        <v>2027</v>
      </c>
      <c r="AC303" s="150">
        <v>2027</v>
      </c>
      <c r="AD303" s="150">
        <v>2027</v>
      </c>
    </row>
    <row r="304" spans="1:30" x14ac:dyDescent="0.3">
      <c r="B304" s="147" t="s">
        <v>506</v>
      </c>
      <c r="C304" s="147"/>
      <c r="D304" s="172"/>
      <c r="E304" s="153">
        <f>E305</f>
        <v>7540538.9000000004</v>
      </c>
      <c r="F304" s="153">
        <f t="shared" ref="F304:AA304" si="82">F305</f>
        <v>0</v>
      </c>
      <c r="G304" s="153">
        <f t="shared" si="82"/>
        <v>0</v>
      </c>
      <c r="H304" s="153">
        <f t="shared" si="82"/>
        <v>0</v>
      </c>
      <c r="I304" s="153">
        <f t="shared" si="82"/>
        <v>0</v>
      </c>
      <c r="J304" s="153">
        <f t="shared" si="82"/>
        <v>0</v>
      </c>
      <c r="K304" s="153">
        <f t="shared" si="82"/>
        <v>0</v>
      </c>
      <c r="L304" s="173">
        <f t="shared" si="82"/>
        <v>0</v>
      </c>
      <c r="M304" s="153">
        <f t="shared" si="82"/>
        <v>0</v>
      </c>
      <c r="N304" s="153">
        <f t="shared" si="82"/>
        <v>594</v>
      </c>
      <c r="O304" s="153">
        <f t="shared" si="82"/>
        <v>7232058.0300000003</v>
      </c>
      <c r="P304" s="153">
        <f t="shared" si="82"/>
        <v>0</v>
      </c>
      <c r="Q304" s="153">
        <f t="shared" si="82"/>
        <v>0</v>
      </c>
      <c r="R304" s="153">
        <f t="shared" si="82"/>
        <v>0</v>
      </c>
      <c r="S304" s="153">
        <f t="shared" si="82"/>
        <v>0</v>
      </c>
      <c r="T304" s="153">
        <f t="shared" si="82"/>
        <v>0</v>
      </c>
      <c r="U304" s="153">
        <f t="shared" si="82"/>
        <v>0</v>
      </c>
      <c r="V304" s="153">
        <f t="shared" si="82"/>
        <v>0</v>
      </c>
      <c r="W304" s="153">
        <f t="shared" si="82"/>
        <v>0</v>
      </c>
      <c r="X304" s="153">
        <f t="shared" si="82"/>
        <v>0</v>
      </c>
      <c r="Y304" s="153">
        <f t="shared" si="82"/>
        <v>200000</v>
      </c>
      <c r="Z304" s="153">
        <f t="shared" si="82"/>
        <v>108480.87</v>
      </c>
      <c r="AA304" s="153">
        <f t="shared" si="82"/>
        <v>0</v>
      </c>
      <c r="AB304" s="146" t="s">
        <v>422</v>
      </c>
      <c r="AC304" s="146" t="s">
        <v>422</v>
      </c>
      <c r="AD304" s="146" t="s">
        <v>422</v>
      </c>
    </row>
    <row r="305" spans="1:30" x14ac:dyDescent="0.3">
      <c r="A305" s="121">
        <v>1</v>
      </c>
      <c r="B305" s="148">
        <f>SUBTOTAL(9,$A$201:A305)</f>
        <v>98</v>
      </c>
      <c r="C305" s="154" t="s">
        <v>371</v>
      </c>
      <c r="D305" s="163" t="s">
        <v>610</v>
      </c>
      <c r="E305" s="144">
        <f>F305+G305+H305+I305+J305+K305+M305+O305+Q305+S305+U305+V305+W305+X305+Z305+AA305+Y305</f>
        <v>7540538.9000000004</v>
      </c>
      <c r="F305" s="160">
        <v>0</v>
      </c>
      <c r="G305" s="160">
        <v>0</v>
      </c>
      <c r="H305" s="160">
        <v>0</v>
      </c>
      <c r="I305" s="160">
        <v>0</v>
      </c>
      <c r="J305" s="160">
        <v>0</v>
      </c>
      <c r="K305" s="160">
        <v>0</v>
      </c>
      <c r="L305" s="162">
        <v>0</v>
      </c>
      <c r="M305" s="160">
        <v>0</v>
      </c>
      <c r="N305" s="160">
        <v>594</v>
      </c>
      <c r="O305" s="160">
        <v>7232058.0300000003</v>
      </c>
      <c r="P305" s="160">
        <v>0</v>
      </c>
      <c r="Q305" s="160">
        <v>0</v>
      </c>
      <c r="R305" s="160">
        <v>0</v>
      </c>
      <c r="S305" s="160">
        <v>0</v>
      </c>
      <c r="T305" s="160">
        <v>0</v>
      </c>
      <c r="U305" s="160">
        <v>0</v>
      </c>
      <c r="V305" s="160">
        <v>0</v>
      </c>
      <c r="W305" s="160">
        <v>0</v>
      </c>
      <c r="X305" s="160">
        <v>0</v>
      </c>
      <c r="Y305" s="160">
        <v>200000</v>
      </c>
      <c r="Z305" s="160">
        <f>ROUND(O305*1.5%,2)</f>
        <v>108480.87</v>
      </c>
      <c r="AA305" s="160">
        <v>0</v>
      </c>
      <c r="AB305" s="150">
        <v>2027</v>
      </c>
      <c r="AC305" s="150">
        <v>2027</v>
      </c>
      <c r="AD305" s="150">
        <v>2027</v>
      </c>
    </row>
    <row r="306" spans="1:30" x14ac:dyDescent="0.3">
      <c r="B306" s="147" t="s">
        <v>507</v>
      </c>
      <c r="C306" s="147"/>
      <c r="D306" s="172"/>
      <c r="E306" s="153">
        <f>E307</f>
        <v>9114658.1800000016</v>
      </c>
      <c r="F306" s="153">
        <f t="shared" ref="F306:AA306" si="83">F307</f>
        <v>0</v>
      </c>
      <c r="G306" s="153">
        <f t="shared" si="83"/>
        <v>0</v>
      </c>
      <c r="H306" s="153">
        <f t="shared" si="83"/>
        <v>0</v>
      </c>
      <c r="I306" s="153">
        <f t="shared" si="83"/>
        <v>0</v>
      </c>
      <c r="J306" s="153">
        <f t="shared" si="83"/>
        <v>0</v>
      </c>
      <c r="K306" s="153">
        <f t="shared" si="83"/>
        <v>0</v>
      </c>
      <c r="L306" s="173">
        <f t="shared" si="83"/>
        <v>0</v>
      </c>
      <c r="M306" s="153">
        <f t="shared" si="83"/>
        <v>0</v>
      </c>
      <c r="N306" s="153">
        <f t="shared" si="83"/>
        <v>718</v>
      </c>
      <c r="O306" s="153">
        <f t="shared" si="83"/>
        <v>8733653.3800000008</v>
      </c>
      <c r="P306" s="153">
        <f t="shared" si="83"/>
        <v>0</v>
      </c>
      <c r="Q306" s="153">
        <f t="shared" si="83"/>
        <v>0</v>
      </c>
      <c r="R306" s="153">
        <f t="shared" si="83"/>
        <v>0</v>
      </c>
      <c r="S306" s="153">
        <f t="shared" si="83"/>
        <v>0</v>
      </c>
      <c r="T306" s="153">
        <f t="shared" si="83"/>
        <v>0</v>
      </c>
      <c r="U306" s="153">
        <f t="shared" si="83"/>
        <v>0</v>
      </c>
      <c r="V306" s="153">
        <f t="shared" si="83"/>
        <v>0</v>
      </c>
      <c r="W306" s="153">
        <f t="shared" si="83"/>
        <v>0</v>
      </c>
      <c r="X306" s="153">
        <f t="shared" si="83"/>
        <v>0</v>
      </c>
      <c r="Y306" s="153">
        <f t="shared" si="83"/>
        <v>250000</v>
      </c>
      <c r="Z306" s="153">
        <f t="shared" si="83"/>
        <v>131004.8</v>
      </c>
      <c r="AA306" s="153">
        <f t="shared" si="83"/>
        <v>0</v>
      </c>
      <c r="AB306" s="146" t="s">
        <v>422</v>
      </c>
      <c r="AC306" s="146" t="s">
        <v>422</v>
      </c>
      <c r="AD306" s="146" t="s">
        <v>422</v>
      </c>
    </row>
    <row r="307" spans="1:30" x14ac:dyDescent="0.3">
      <c r="A307" s="121">
        <v>1</v>
      </c>
      <c r="B307" s="148">
        <f>SUBTOTAL(9,$A$201:A307)</f>
        <v>99</v>
      </c>
      <c r="C307" s="154" t="s">
        <v>377</v>
      </c>
      <c r="D307" s="163" t="s">
        <v>610</v>
      </c>
      <c r="E307" s="144">
        <f>F307+G307+H307+I307+J307+K307+M307+O307+Q307+S307+U307+V307+W307+X307+Z307+AA307+Y307</f>
        <v>9114658.1800000016</v>
      </c>
      <c r="F307" s="160">
        <v>0</v>
      </c>
      <c r="G307" s="160">
        <v>0</v>
      </c>
      <c r="H307" s="160">
        <v>0</v>
      </c>
      <c r="I307" s="160">
        <v>0</v>
      </c>
      <c r="J307" s="160">
        <v>0</v>
      </c>
      <c r="K307" s="160">
        <v>0</v>
      </c>
      <c r="L307" s="162">
        <v>0</v>
      </c>
      <c r="M307" s="160">
        <v>0</v>
      </c>
      <c r="N307" s="160">
        <v>718</v>
      </c>
      <c r="O307" s="160">
        <v>8733653.3800000008</v>
      </c>
      <c r="P307" s="160">
        <v>0</v>
      </c>
      <c r="Q307" s="160">
        <v>0</v>
      </c>
      <c r="R307" s="160">
        <v>0</v>
      </c>
      <c r="S307" s="160">
        <v>0</v>
      </c>
      <c r="T307" s="160">
        <v>0</v>
      </c>
      <c r="U307" s="160">
        <v>0</v>
      </c>
      <c r="V307" s="160">
        <v>0</v>
      </c>
      <c r="W307" s="160">
        <v>0</v>
      </c>
      <c r="X307" s="160">
        <v>0</v>
      </c>
      <c r="Y307" s="160">
        <v>250000</v>
      </c>
      <c r="Z307" s="160">
        <f>ROUND(O307*1.5%,2)</f>
        <v>131004.8</v>
      </c>
      <c r="AA307" s="160">
        <v>0</v>
      </c>
      <c r="AB307" s="150">
        <v>2027</v>
      </c>
      <c r="AC307" s="150">
        <v>2027</v>
      </c>
      <c r="AD307" s="150">
        <v>2027</v>
      </c>
    </row>
    <row r="308" spans="1:30" x14ac:dyDescent="0.3">
      <c r="B308" s="147" t="s">
        <v>504</v>
      </c>
      <c r="C308" s="147"/>
      <c r="D308" s="172"/>
      <c r="E308" s="153">
        <f>E309</f>
        <v>13227679.42</v>
      </c>
      <c r="F308" s="153">
        <f t="shared" ref="F308:AA308" si="84">F309</f>
        <v>0</v>
      </c>
      <c r="G308" s="153">
        <f t="shared" si="84"/>
        <v>0</v>
      </c>
      <c r="H308" s="153">
        <f t="shared" si="84"/>
        <v>0</v>
      </c>
      <c r="I308" s="153">
        <f t="shared" si="84"/>
        <v>0</v>
      </c>
      <c r="J308" s="153">
        <f t="shared" si="84"/>
        <v>0</v>
      </c>
      <c r="K308" s="153">
        <f t="shared" si="84"/>
        <v>0</v>
      </c>
      <c r="L308" s="173">
        <f t="shared" si="84"/>
        <v>0</v>
      </c>
      <c r="M308" s="153">
        <f t="shared" si="84"/>
        <v>0</v>
      </c>
      <c r="N308" s="153">
        <f t="shared" si="84"/>
        <v>1042</v>
      </c>
      <c r="O308" s="153">
        <f t="shared" si="84"/>
        <v>12736629.970000001</v>
      </c>
      <c r="P308" s="153">
        <f t="shared" si="84"/>
        <v>0</v>
      </c>
      <c r="Q308" s="153">
        <f t="shared" si="84"/>
        <v>0</v>
      </c>
      <c r="R308" s="153">
        <f t="shared" si="84"/>
        <v>0</v>
      </c>
      <c r="S308" s="153">
        <f t="shared" si="84"/>
        <v>0</v>
      </c>
      <c r="T308" s="153">
        <f t="shared" si="84"/>
        <v>0</v>
      </c>
      <c r="U308" s="153">
        <f t="shared" si="84"/>
        <v>0</v>
      </c>
      <c r="V308" s="153">
        <f t="shared" si="84"/>
        <v>0</v>
      </c>
      <c r="W308" s="153">
        <f t="shared" si="84"/>
        <v>0</v>
      </c>
      <c r="X308" s="153">
        <f t="shared" si="84"/>
        <v>0</v>
      </c>
      <c r="Y308" s="153">
        <f t="shared" si="84"/>
        <v>300000</v>
      </c>
      <c r="Z308" s="153">
        <f t="shared" si="84"/>
        <v>191049.45</v>
      </c>
      <c r="AA308" s="153">
        <f t="shared" si="84"/>
        <v>0</v>
      </c>
      <c r="AB308" s="146" t="s">
        <v>422</v>
      </c>
      <c r="AC308" s="146" t="s">
        <v>422</v>
      </c>
      <c r="AD308" s="146" t="s">
        <v>422</v>
      </c>
    </row>
    <row r="309" spans="1:30" x14ac:dyDescent="0.3">
      <c r="A309" s="121">
        <v>1</v>
      </c>
      <c r="B309" s="148">
        <f>SUBTOTAL(9,$A$201:A309)</f>
        <v>100</v>
      </c>
      <c r="C309" s="154" t="s">
        <v>369</v>
      </c>
      <c r="D309" s="163" t="s">
        <v>610</v>
      </c>
      <c r="E309" s="144">
        <f>F309+G309+H309+I309+J309+K309+M309+O309+Q309+S309+U309+V309+W309+X309+Z309+AA309+Y309</f>
        <v>13227679.42</v>
      </c>
      <c r="F309" s="160">
        <v>0</v>
      </c>
      <c r="G309" s="160">
        <v>0</v>
      </c>
      <c r="H309" s="160">
        <v>0</v>
      </c>
      <c r="I309" s="160">
        <v>0</v>
      </c>
      <c r="J309" s="160">
        <v>0</v>
      </c>
      <c r="K309" s="160">
        <v>0</v>
      </c>
      <c r="L309" s="162">
        <v>0</v>
      </c>
      <c r="M309" s="160">
        <v>0</v>
      </c>
      <c r="N309" s="160">
        <v>1042</v>
      </c>
      <c r="O309" s="160">
        <v>12736629.970000001</v>
      </c>
      <c r="P309" s="160">
        <v>0</v>
      </c>
      <c r="Q309" s="160">
        <v>0</v>
      </c>
      <c r="R309" s="160">
        <v>0</v>
      </c>
      <c r="S309" s="160">
        <v>0</v>
      </c>
      <c r="T309" s="160">
        <v>0</v>
      </c>
      <c r="U309" s="160">
        <v>0</v>
      </c>
      <c r="V309" s="160">
        <v>0</v>
      </c>
      <c r="W309" s="160">
        <v>0</v>
      </c>
      <c r="X309" s="160">
        <v>0</v>
      </c>
      <c r="Y309" s="160">
        <v>300000</v>
      </c>
      <c r="Z309" s="160">
        <f>ROUND(O309*1.5%,2)</f>
        <v>191049.45</v>
      </c>
      <c r="AA309" s="160">
        <v>0</v>
      </c>
      <c r="AB309" s="150">
        <v>2027</v>
      </c>
      <c r="AC309" s="150">
        <v>2027</v>
      </c>
      <c r="AD309" s="150">
        <v>2027</v>
      </c>
    </row>
    <row r="310" spans="1:30" x14ac:dyDescent="0.3">
      <c r="B310" s="147" t="s">
        <v>503</v>
      </c>
      <c r="C310" s="147"/>
      <c r="D310" s="172"/>
      <c r="E310" s="153">
        <f>E311</f>
        <v>8307287.3399999999</v>
      </c>
      <c r="F310" s="153">
        <f t="shared" ref="F310:AA310" si="85">F311</f>
        <v>0</v>
      </c>
      <c r="G310" s="153">
        <f t="shared" si="85"/>
        <v>0</v>
      </c>
      <c r="H310" s="153">
        <f t="shared" si="85"/>
        <v>0</v>
      </c>
      <c r="I310" s="153">
        <f t="shared" si="85"/>
        <v>0</v>
      </c>
      <c r="J310" s="153">
        <f t="shared" si="85"/>
        <v>0</v>
      </c>
      <c r="K310" s="153">
        <f t="shared" si="85"/>
        <v>0</v>
      </c>
      <c r="L310" s="173">
        <f t="shared" si="85"/>
        <v>0</v>
      </c>
      <c r="M310" s="153">
        <f t="shared" si="85"/>
        <v>0</v>
      </c>
      <c r="N310" s="153">
        <f t="shared" si="85"/>
        <v>654.4</v>
      </c>
      <c r="O310" s="153">
        <f t="shared" si="85"/>
        <v>7938214.1299999999</v>
      </c>
      <c r="P310" s="153">
        <f t="shared" si="85"/>
        <v>0</v>
      </c>
      <c r="Q310" s="153">
        <f t="shared" si="85"/>
        <v>0</v>
      </c>
      <c r="R310" s="153">
        <f t="shared" si="85"/>
        <v>0</v>
      </c>
      <c r="S310" s="153">
        <f t="shared" si="85"/>
        <v>0</v>
      </c>
      <c r="T310" s="153">
        <f t="shared" si="85"/>
        <v>0</v>
      </c>
      <c r="U310" s="153">
        <f t="shared" si="85"/>
        <v>0</v>
      </c>
      <c r="V310" s="153">
        <f t="shared" si="85"/>
        <v>0</v>
      </c>
      <c r="W310" s="153">
        <f t="shared" si="85"/>
        <v>0</v>
      </c>
      <c r="X310" s="153">
        <f t="shared" si="85"/>
        <v>0</v>
      </c>
      <c r="Y310" s="153">
        <f t="shared" si="85"/>
        <v>250000</v>
      </c>
      <c r="Z310" s="153">
        <f t="shared" si="85"/>
        <v>119073.21</v>
      </c>
      <c r="AA310" s="153">
        <f t="shared" si="85"/>
        <v>0</v>
      </c>
      <c r="AB310" s="146" t="s">
        <v>422</v>
      </c>
      <c r="AC310" s="146" t="s">
        <v>422</v>
      </c>
      <c r="AD310" s="146" t="s">
        <v>422</v>
      </c>
    </row>
    <row r="311" spans="1:30" x14ac:dyDescent="0.3">
      <c r="A311" s="121">
        <v>1</v>
      </c>
      <c r="B311" s="148">
        <f>SUBTOTAL(9,$A$201:A311)</f>
        <v>101</v>
      </c>
      <c r="C311" s="154" t="s">
        <v>376</v>
      </c>
      <c r="D311" s="163" t="s">
        <v>610</v>
      </c>
      <c r="E311" s="144">
        <f>F311+G311+H311+I311+J311+K311+M311+O311+Q311+S311+U311+V311+W311+X311+Z311+AA311+Y311</f>
        <v>8307287.3399999999</v>
      </c>
      <c r="F311" s="160">
        <v>0</v>
      </c>
      <c r="G311" s="160">
        <v>0</v>
      </c>
      <c r="H311" s="160">
        <v>0</v>
      </c>
      <c r="I311" s="160">
        <v>0</v>
      </c>
      <c r="J311" s="160">
        <v>0</v>
      </c>
      <c r="K311" s="160">
        <v>0</v>
      </c>
      <c r="L311" s="162">
        <v>0</v>
      </c>
      <c r="M311" s="160">
        <v>0</v>
      </c>
      <c r="N311" s="160">
        <v>654.4</v>
      </c>
      <c r="O311" s="160">
        <v>7938214.1299999999</v>
      </c>
      <c r="P311" s="160">
        <v>0</v>
      </c>
      <c r="Q311" s="160">
        <v>0</v>
      </c>
      <c r="R311" s="160">
        <v>0</v>
      </c>
      <c r="S311" s="160">
        <v>0</v>
      </c>
      <c r="T311" s="160">
        <v>0</v>
      </c>
      <c r="U311" s="160">
        <v>0</v>
      </c>
      <c r="V311" s="160">
        <v>0</v>
      </c>
      <c r="W311" s="160">
        <v>0</v>
      </c>
      <c r="X311" s="160">
        <v>0</v>
      </c>
      <c r="Y311" s="160">
        <v>250000</v>
      </c>
      <c r="Z311" s="160">
        <f>ROUND(O311*1.5%,2)</f>
        <v>119073.21</v>
      </c>
      <c r="AA311" s="160">
        <v>0</v>
      </c>
      <c r="AB311" s="150">
        <v>2027</v>
      </c>
      <c r="AC311" s="150">
        <v>2027</v>
      </c>
      <c r="AD311" s="150">
        <v>2027</v>
      </c>
    </row>
    <row r="312" spans="1:30" x14ac:dyDescent="0.3">
      <c r="B312" s="147" t="s">
        <v>690</v>
      </c>
      <c r="C312" s="147"/>
      <c r="D312" s="172"/>
      <c r="E312" s="153">
        <f>E313+E314+E315</f>
        <v>42053337.650000006</v>
      </c>
      <c r="F312" s="153">
        <f t="shared" ref="F312:AA312" si="86">F313+F314+F315</f>
        <v>0</v>
      </c>
      <c r="G312" s="153">
        <f t="shared" si="86"/>
        <v>0</v>
      </c>
      <c r="H312" s="153">
        <f t="shared" si="86"/>
        <v>0</v>
      </c>
      <c r="I312" s="153">
        <f t="shared" si="86"/>
        <v>0</v>
      </c>
      <c r="J312" s="153">
        <f t="shared" si="86"/>
        <v>0</v>
      </c>
      <c r="K312" s="153">
        <f t="shared" si="86"/>
        <v>0</v>
      </c>
      <c r="L312" s="173">
        <f t="shared" si="86"/>
        <v>0</v>
      </c>
      <c r="M312" s="153">
        <f t="shared" si="86"/>
        <v>0</v>
      </c>
      <c r="N312" s="153">
        <f t="shared" si="86"/>
        <v>3877.4</v>
      </c>
      <c r="O312" s="153">
        <f t="shared" si="86"/>
        <v>40692943.49000001</v>
      </c>
      <c r="P312" s="153">
        <f t="shared" si="86"/>
        <v>0</v>
      </c>
      <c r="Q312" s="153">
        <f t="shared" si="86"/>
        <v>0</v>
      </c>
      <c r="R312" s="153">
        <f t="shared" si="86"/>
        <v>0</v>
      </c>
      <c r="S312" s="153">
        <f t="shared" si="86"/>
        <v>0</v>
      </c>
      <c r="T312" s="153">
        <f t="shared" si="86"/>
        <v>0</v>
      </c>
      <c r="U312" s="153">
        <f t="shared" si="86"/>
        <v>0</v>
      </c>
      <c r="V312" s="153">
        <f t="shared" si="86"/>
        <v>0</v>
      </c>
      <c r="W312" s="153">
        <f t="shared" si="86"/>
        <v>0</v>
      </c>
      <c r="X312" s="153">
        <f t="shared" si="86"/>
        <v>0</v>
      </c>
      <c r="Y312" s="153">
        <f t="shared" si="86"/>
        <v>750000</v>
      </c>
      <c r="Z312" s="153">
        <f t="shared" si="86"/>
        <v>610394.16</v>
      </c>
      <c r="AA312" s="153">
        <f t="shared" si="86"/>
        <v>0</v>
      </c>
      <c r="AB312" s="146" t="s">
        <v>422</v>
      </c>
      <c r="AC312" s="146" t="s">
        <v>422</v>
      </c>
      <c r="AD312" s="146" t="s">
        <v>422</v>
      </c>
    </row>
    <row r="313" spans="1:30" x14ac:dyDescent="0.3">
      <c r="A313" s="121">
        <v>1</v>
      </c>
      <c r="B313" s="148">
        <f>SUBTOTAL(9,$A$201:A313)</f>
        <v>102</v>
      </c>
      <c r="C313" s="154" t="s">
        <v>171</v>
      </c>
      <c r="D313" s="163" t="s">
        <v>611</v>
      </c>
      <c r="E313" s="144">
        <f t="shared" ref="E313:E315" si="87">F313+G313+H313+I313+J313+K313+M313+O313+Q313+S313+U313+V313+W313+X313+Z313+AA313+Y313</f>
        <v>18662824</v>
      </c>
      <c r="F313" s="153">
        <v>0</v>
      </c>
      <c r="G313" s="153">
        <v>0</v>
      </c>
      <c r="H313" s="153">
        <v>0</v>
      </c>
      <c r="I313" s="153">
        <v>0</v>
      </c>
      <c r="J313" s="153">
        <v>0</v>
      </c>
      <c r="K313" s="153">
        <v>0</v>
      </c>
      <c r="L313" s="173">
        <v>0</v>
      </c>
      <c r="M313" s="153">
        <v>0</v>
      </c>
      <c r="N313" s="153">
        <v>1443</v>
      </c>
      <c r="O313" s="153">
        <v>18140713.300000001</v>
      </c>
      <c r="P313" s="160">
        <v>0</v>
      </c>
      <c r="Q313" s="160">
        <v>0</v>
      </c>
      <c r="R313" s="160">
        <v>0</v>
      </c>
      <c r="S313" s="160">
        <v>0</v>
      </c>
      <c r="T313" s="160">
        <v>0</v>
      </c>
      <c r="U313" s="160">
        <v>0</v>
      </c>
      <c r="V313" s="160">
        <v>0</v>
      </c>
      <c r="W313" s="160">
        <v>0</v>
      </c>
      <c r="X313" s="160">
        <v>0</v>
      </c>
      <c r="Y313" s="160">
        <v>250000</v>
      </c>
      <c r="Z313" s="160">
        <f t="shared" ref="Z313:Z315" si="88">ROUND(O313*1.5%,2)</f>
        <v>272110.7</v>
      </c>
      <c r="AA313" s="160">
        <v>0</v>
      </c>
      <c r="AB313" s="150">
        <v>2027</v>
      </c>
      <c r="AC313" s="150">
        <v>2027</v>
      </c>
      <c r="AD313" s="150">
        <v>2027</v>
      </c>
    </row>
    <row r="314" spans="1:30" x14ac:dyDescent="0.3">
      <c r="A314" s="121">
        <v>1</v>
      </c>
      <c r="B314" s="148">
        <f>SUBTOTAL(9,$A$201:A314)</f>
        <v>103</v>
      </c>
      <c r="C314" s="154" t="s">
        <v>172</v>
      </c>
      <c r="D314" s="163" t="s">
        <v>611</v>
      </c>
      <c r="E314" s="144">
        <f t="shared" si="87"/>
        <v>16263815.730000002</v>
      </c>
      <c r="F314" s="153">
        <v>0</v>
      </c>
      <c r="G314" s="153">
        <v>0</v>
      </c>
      <c r="H314" s="153">
        <v>0</v>
      </c>
      <c r="I314" s="153">
        <v>0</v>
      </c>
      <c r="J314" s="153">
        <v>0</v>
      </c>
      <c r="K314" s="153">
        <v>0</v>
      </c>
      <c r="L314" s="173">
        <v>0</v>
      </c>
      <c r="M314" s="153">
        <v>0</v>
      </c>
      <c r="N314" s="153">
        <v>1873</v>
      </c>
      <c r="O314" s="153">
        <f>22711935.05-6934776.7</f>
        <v>15777158.350000001</v>
      </c>
      <c r="P314" s="160">
        <v>0</v>
      </c>
      <c r="Q314" s="160">
        <v>0</v>
      </c>
      <c r="R314" s="160">
        <v>0</v>
      </c>
      <c r="S314" s="160">
        <v>0</v>
      </c>
      <c r="T314" s="160">
        <v>0</v>
      </c>
      <c r="U314" s="160">
        <v>0</v>
      </c>
      <c r="V314" s="160">
        <v>0</v>
      </c>
      <c r="W314" s="160">
        <v>0</v>
      </c>
      <c r="X314" s="160">
        <v>0</v>
      </c>
      <c r="Y314" s="160">
        <v>250000</v>
      </c>
      <c r="Z314" s="160">
        <f t="shared" si="88"/>
        <v>236657.38</v>
      </c>
      <c r="AA314" s="160">
        <v>0</v>
      </c>
      <c r="AB314" s="150">
        <v>2027</v>
      </c>
      <c r="AC314" s="150">
        <v>2027</v>
      </c>
      <c r="AD314" s="150">
        <v>2027</v>
      </c>
    </row>
    <row r="315" spans="1:30" x14ac:dyDescent="0.3">
      <c r="A315" s="121">
        <v>1</v>
      </c>
      <c r="B315" s="148">
        <f>SUBTOTAL(9,$A$201:A315)</f>
        <v>104</v>
      </c>
      <c r="C315" s="154" t="s">
        <v>776</v>
      </c>
      <c r="D315" s="163"/>
      <c r="E315" s="144">
        <f t="shared" si="87"/>
        <v>7126697.9199999999</v>
      </c>
      <c r="F315" s="153">
        <v>0</v>
      </c>
      <c r="G315" s="153">
        <v>0</v>
      </c>
      <c r="H315" s="153">
        <v>0</v>
      </c>
      <c r="I315" s="153">
        <v>0</v>
      </c>
      <c r="J315" s="153">
        <v>0</v>
      </c>
      <c r="K315" s="153">
        <v>0</v>
      </c>
      <c r="L315" s="173">
        <v>0</v>
      </c>
      <c r="M315" s="153">
        <v>0</v>
      </c>
      <c r="N315" s="153">
        <v>561.4</v>
      </c>
      <c r="O315" s="153">
        <v>6775071.8399999999</v>
      </c>
      <c r="P315" s="160">
        <v>0</v>
      </c>
      <c r="Q315" s="160">
        <v>0</v>
      </c>
      <c r="R315" s="160">
        <v>0</v>
      </c>
      <c r="S315" s="160">
        <v>0</v>
      </c>
      <c r="T315" s="160">
        <v>0</v>
      </c>
      <c r="U315" s="160">
        <v>0</v>
      </c>
      <c r="V315" s="160">
        <v>0</v>
      </c>
      <c r="W315" s="160">
        <v>0</v>
      </c>
      <c r="X315" s="160">
        <v>0</v>
      </c>
      <c r="Y315" s="160">
        <v>250000</v>
      </c>
      <c r="Z315" s="160">
        <f t="shared" si="88"/>
        <v>101626.08</v>
      </c>
      <c r="AA315" s="160">
        <v>0</v>
      </c>
      <c r="AB315" s="150">
        <v>2027</v>
      </c>
      <c r="AC315" s="150">
        <v>2027</v>
      </c>
      <c r="AD315" s="150">
        <v>2027</v>
      </c>
    </row>
    <row r="316" spans="1:30" x14ac:dyDescent="0.3">
      <c r="B316" s="141" t="s">
        <v>689</v>
      </c>
      <c r="C316" s="142"/>
      <c r="D316" s="143"/>
      <c r="E316" s="144">
        <f>E317+E318+E319+E320</f>
        <v>27227661.530000001</v>
      </c>
      <c r="F316" s="144">
        <f t="shared" ref="F316:AA316" si="89">F317+F318+F319+F320</f>
        <v>0</v>
      </c>
      <c r="G316" s="144">
        <f t="shared" si="89"/>
        <v>0</v>
      </c>
      <c r="H316" s="144">
        <f t="shared" si="89"/>
        <v>0</v>
      </c>
      <c r="I316" s="144">
        <f t="shared" si="89"/>
        <v>0</v>
      </c>
      <c r="J316" s="144">
        <f t="shared" si="89"/>
        <v>0</v>
      </c>
      <c r="K316" s="144">
        <f t="shared" si="89"/>
        <v>0</v>
      </c>
      <c r="L316" s="145">
        <v>0</v>
      </c>
      <c r="M316" s="144">
        <f t="shared" si="89"/>
        <v>0</v>
      </c>
      <c r="N316" s="144">
        <f t="shared" si="89"/>
        <v>1956.5</v>
      </c>
      <c r="O316" s="144">
        <f t="shared" si="89"/>
        <v>26037104.960000001</v>
      </c>
      <c r="P316" s="144">
        <f t="shared" si="89"/>
        <v>0</v>
      </c>
      <c r="Q316" s="144">
        <f t="shared" si="89"/>
        <v>0</v>
      </c>
      <c r="R316" s="144">
        <f t="shared" si="89"/>
        <v>0</v>
      </c>
      <c r="S316" s="144">
        <f t="shared" si="89"/>
        <v>0</v>
      </c>
      <c r="T316" s="144">
        <f t="shared" si="89"/>
        <v>0</v>
      </c>
      <c r="U316" s="144">
        <f t="shared" si="89"/>
        <v>0</v>
      </c>
      <c r="V316" s="144">
        <f t="shared" si="89"/>
        <v>0</v>
      </c>
      <c r="W316" s="144">
        <f t="shared" si="89"/>
        <v>0</v>
      </c>
      <c r="X316" s="144">
        <f t="shared" si="89"/>
        <v>0</v>
      </c>
      <c r="Y316" s="144">
        <f t="shared" si="89"/>
        <v>800000</v>
      </c>
      <c r="Z316" s="144">
        <f t="shared" si="89"/>
        <v>390556.57</v>
      </c>
      <c r="AA316" s="144">
        <f t="shared" si="89"/>
        <v>0</v>
      </c>
      <c r="AB316" s="146" t="s">
        <v>422</v>
      </c>
      <c r="AC316" s="146" t="s">
        <v>422</v>
      </c>
      <c r="AD316" s="146" t="s">
        <v>422</v>
      </c>
    </row>
    <row r="317" spans="1:30" x14ac:dyDescent="0.3">
      <c r="A317" s="121">
        <v>1</v>
      </c>
      <c r="B317" s="148">
        <f>SUBTOTAL(9,$A$201:A317)</f>
        <v>105</v>
      </c>
      <c r="C317" s="154" t="s">
        <v>177</v>
      </c>
      <c r="D317" s="163" t="s">
        <v>612</v>
      </c>
      <c r="E317" s="144">
        <f>F317+G317+H317+I317+J317+K317+M317+O317+Q317+S317+U317+V317+W317+X317+Z317+AA317+Y317</f>
        <v>8505321.6999999993</v>
      </c>
      <c r="F317" s="160">
        <v>0</v>
      </c>
      <c r="G317" s="160">
        <v>0</v>
      </c>
      <c r="H317" s="160">
        <v>0</v>
      </c>
      <c r="I317" s="160">
        <v>0</v>
      </c>
      <c r="J317" s="160">
        <v>0</v>
      </c>
      <c r="K317" s="160">
        <v>0</v>
      </c>
      <c r="L317" s="173">
        <v>0</v>
      </c>
      <c r="M317" s="160">
        <v>0</v>
      </c>
      <c r="N317" s="153">
        <v>670</v>
      </c>
      <c r="O317" s="153">
        <v>8182582.96</v>
      </c>
      <c r="P317" s="160">
        <v>0</v>
      </c>
      <c r="Q317" s="160">
        <v>0</v>
      </c>
      <c r="R317" s="160">
        <v>0</v>
      </c>
      <c r="S317" s="160">
        <v>0</v>
      </c>
      <c r="T317" s="160">
        <v>0</v>
      </c>
      <c r="U317" s="160">
        <v>0</v>
      </c>
      <c r="V317" s="160">
        <v>0</v>
      </c>
      <c r="W317" s="160">
        <v>0</v>
      </c>
      <c r="X317" s="160">
        <v>0</v>
      </c>
      <c r="Y317" s="160">
        <v>200000</v>
      </c>
      <c r="Z317" s="160">
        <f>ROUND(O317*1.5%,2)</f>
        <v>122738.74</v>
      </c>
      <c r="AA317" s="160">
        <v>0</v>
      </c>
      <c r="AB317" s="150">
        <v>2027</v>
      </c>
      <c r="AC317" s="150">
        <v>2027</v>
      </c>
      <c r="AD317" s="150">
        <v>2027</v>
      </c>
    </row>
    <row r="318" spans="1:30" x14ac:dyDescent="0.3">
      <c r="A318" s="121">
        <v>1</v>
      </c>
      <c r="B318" s="148">
        <f>SUBTOTAL(9,$A$201:A318)</f>
        <v>106</v>
      </c>
      <c r="C318" s="154" t="s">
        <v>178</v>
      </c>
      <c r="D318" s="163" t="s">
        <v>612</v>
      </c>
      <c r="E318" s="144">
        <f>F318+G318+H318+I318+J318+K318+M318+O318+Q318+S318+U318+V318+W318+X318+Z318+AA318+Y318</f>
        <v>8440250.9400000013</v>
      </c>
      <c r="F318" s="160">
        <v>0</v>
      </c>
      <c r="G318" s="160">
        <v>0</v>
      </c>
      <c r="H318" s="160">
        <v>0</v>
      </c>
      <c r="I318" s="160">
        <v>0</v>
      </c>
      <c r="J318" s="160">
        <v>0</v>
      </c>
      <c r="K318" s="160">
        <v>0</v>
      </c>
      <c r="L318" s="173">
        <v>0</v>
      </c>
      <c r="M318" s="160">
        <v>0</v>
      </c>
      <c r="N318" s="153">
        <v>623.6</v>
      </c>
      <c r="O318" s="153">
        <v>8118473.8300000001</v>
      </c>
      <c r="P318" s="160">
        <v>0</v>
      </c>
      <c r="Q318" s="160">
        <v>0</v>
      </c>
      <c r="R318" s="160">
        <v>0</v>
      </c>
      <c r="S318" s="160">
        <v>0</v>
      </c>
      <c r="T318" s="160">
        <v>0</v>
      </c>
      <c r="U318" s="160">
        <v>0</v>
      </c>
      <c r="V318" s="160">
        <v>0</v>
      </c>
      <c r="W318" s="160">
        <v>0</v>
      </c>
      <c r="X318" s="160">
        <v>0</v>
      </c>
      <c r="Y318" s="160">
        <v>200000</v>
      </c>
      <c r="Z318" s="160">
        <f>ROUND(O318*1.5%,2)</f>
        <v>121777.11</v>
      </c>
      <c r="AA318" s="160">
        <v>0</v>
      </c>
      <c r="AB318" s="150">
        <v>2027</v>
      </c>
      <c r="AC318" s="150">
        <v>2027</v>
      </c>
      <c r="AD318" s="150">
        <v>2027</v>
      </c>
    </row>
    <row r="319" spans="1:30" x14ac:dyDescent="0.3">
      <c r="A319" s="121">
        <v>1</v>
      </c>
      <c r="B319" s="148">
        <f>SUBTOTAL(9,$A$201:A319)</f>
        <v>107</v>
      </c>
      <c r="C319" s="154" t="s">
        <v>745</v>
      </c>
      <c r="D319" s="163" t="s">
        <v>612</v>
      </c>
      <c r="E319" s="144">
        <f>F319+G319+H319+I319+J319+K319+M319+O319+Q319+S319+U319+V319+W319+X319+Z319+AA319+Y319</f>
        <v>3909909.08</v>
      </c>
      <c r="F319" s="160">
        <v>0</v>
      </c>
      <c r="G319" s="160">
        <v>0</v>
      </c>
      <c r="H319" s="160">
        <v>0</v>
      </c>
      <c r="I319" s="160">
        <v>0</v>
      </c>
      <c r="J319" s="160">
        <v>0</v>
      </c>
      <c r="K319" s="160">
        <v>0</v>
      </c>
      <c r="L319" s="173">
        <v>0</v>
      </c>
      <c r="M319" s="160">
        <v>0</v>
      </c>
      <c r="N319" s="153">
        <v>308</v>
      </c>
      <c r="O319" s="153">
        <v>3655082.84</v>
      </c>
      <c r="P319" s="160">
        <v>0</v>
      </c>
      <c r="Q319" s="160">
        <v>0</v>
      </c>
      <c r="R319" s="160">
        <v>0</v>
      </c>
      <c r="S319" s="160">
        <v>0</v>
      </c>
      <c r="T319" s="160">
        <v>0</v>
      </c>
      <c r="U319" s="160">
        <v>0</v>
      </c>
      <c r="V319" s="160">
        <v>0</v>
      </c>
      <c r="W319" s="160">
        <v>0</v>
      </c>
      <c r="X319" s="160">
        <v>0</v>
      </c>
      <c r="Y319" s="160">
        <v>200000</v>
      </c>
      <c r="Z319" s="160">
        <f>ROUND(O319*1.5%,2)</f>
        <v>54826.239999999998</v>
      </c>
      <c r="AA319" s="160">
        <v>0</v>
      </c>
      <c r="AB319" s="150">
        <v>2027</v>
      </c>
      <c r="AC319" s="150">
        <v>2027</v>
      </c>
      <c r="AD319" s="150">
        <v>2027</v>
      </c>
    </row>
    <row r="320" spans="1:30" x14ac:dyDescent="0.3">
      <c r="A320" s="121">
        <v>1</v>
      </c>
      <c r="B320" s="148">
        <f>SUBTOTAL(9,$A$201:A320)</f>
        <v>108</v>
      </c>
      <c r="C320" s="154" t="s">
        <v>746</v>
      </c>
      <c r="D320" s="163" t="s">
        <v>612</v>
      </c>
      <c r="E320" s="144">
        <f>F320+G320+H320+I320+J320+K320+M320+O320+Q320+S320+U320+V320+W320+X320+Z320+AA320+Y320</f>
        <v>6372179.8100000005</v>
      </c>
      <c r="F320" s="160">
        <v>0</v>
      </c>
      <c r="G320" s="160">
        <v>0</v>
      </c>
      <c r="H320" s="160">
        <v>0</v>
      </c>
      <c r="I320" s="160">
        <v>0</v>
      </c>
      <c r="J320" s="160">
        <v>0</v>
      </c>
      <c r="K320" s="160">
        <v>0</v>
      </c>
      <c r="L320" s="173">
        <v>0</v>
      </c>
      <c r="M320" s="160">
        <v>0</v>
      </c>
      <c r="N320" s="153">
        <v>354.9</v>
      </c>
      <c r="O320" s="153">
        <v>6080965.3300000001</v>
      </c>
      <c r="P320" s="160">
        <v>0</v>
      </c>
      <c r="Q320" s="160">
        <v>0</v>
      </c>
      <c r="R320" s="160">
        <v>0</v>
      </c>
      <c r="S320" s="160">
        <v>0</v>
      </c>
      <c r="T320" s="160">
        <v>0</v>
      </c>
      <c r="U320" s="160">
        <v>0</v>
      </c>
      <c r="V320" s="160">
        <v>0</v>
      </c>
      <c r="W320" s="160">
        <v>0</v>
      </c>
      <c r="X320" s="160">
        <v>0</v>
      </c>
      <c r="Y320" s="160">
        <v>200000</v>
      </c>
      <c r="Z320" s="160">
        <f>ROUND(O320*1.5%,2)</f>
        <v>91214.48</v>
      </c>
      <c r="AA320" s="160">
        <v>0</v>
      </c>
      <c r="AB320" s="150">
        <v>2027</v>
      </c>
      <c r="AC320" s="150">
        <v>2027</v>
      </c>
      <c r="AD320" s="150">
        <v>2027</v>
      </c>
    </row>
    <row r="321" spans="1:30" x14ac:dyDescent="0.3">
      <c r="B321" s="141" t="s">
        <v>686</v>
      </c>
      <c r="C321" s="141"/>
      <c r="D321" s="171"/>
      <c r="E321" s="170">
        <f>E322</f>
        <v>7270971.0200000005</v>
      </c>
      <c r="F321" s="160">
        <f t="shared" ref="F321:AA321" si="90">F322</f>
        <v>0</v>
      </c>
      <c r="G321" s="160">
        <f t="shared" si="90"/>
        <v>0</v>
      </c>
      <c r="H321" s="160">
        <f t="shared" si="90"/>
        <v>0</v>
      </c>
      <c r="I321" s="160">
        <f t="shared" si="90"/>
        <v>0</v>
      </c>
      <c r="J321" s="160">
        <f t="shared" si="90"/>
        <v>0</v>
      </c>
      <c r="K321" s="160">
        <f t="shared" si="90"/>
        <v>0</v>
      </c>
      <c r="L321" s="162">
        <f t="shared" si="90"/>
        <v>0</v>
      </c>
      <c r="M321" s="160">
        <f t="shared" si="90"/>
        <v>0</v>
      </c>
      <c r="N321" s="160">
        <f t="shared" si="90"/>
        <v>572.76499999999999</v>
      </c>
      <c r="O321" s="160">
        <f t="shared" si="90"/>
        <v>6966473.9100000001</v>
      </c>
      <c r="P321" s="160">
        <f t="shared" si="90"/>
        <v>0</v>
      </c>
      <c r="Q321" s="160">
        <f t="shared" si="90"/>
        <v>0</v>
      </c>
      <c r="R321" s="160">
        <f t="shared" si="90"/>
        <v>0</v>
      </c>
      <c r="S321" s="160">
        <f t="shared" si="90"/>
        <v>0</v>
      </c>
      <c r="T321" s="160">
        <f t="shared" si="90"/>
        <v>0</v>
      </c>
      <c r="U321" s="160">
        <f t="shared" si="90"/>
        <v>0</v>
      </c>
      <c r="V321" s="160">
        <f t="shared" si="90"/>
        <v>0</v>
      </c>
      <c r="W321" s="160">
        <f t="shared" si="90"/>
        <v>0</v>
      </c>
      <c r="X321" s="160">
        <f t="shared" si="90"/>
        <v>0</v>
      </c>
      <c r="Y321" s="160">
        <f t="shared" si="90"/>
        <v>200000</v>
      </c>
      <c r="Z321" s="160">
        <f t="shared" si="90"/>
        <v>104497.11</v>
      </c>
      <c r="AA321" s="160">
        <f t="shared" si="90"/>
        <v>0</v>
      </c>
      <c r="AB321" s="146" t="s">
        <v>422</v>
      </c>
      <c r="AC321" s="146" t="s">
        <v>422</v>
      </c>
      <c r="AD321" s="146" t="s">
        <v>422</v>
      </c>
    </row>
    <row r="322" spans="1:30" x14ac:dyDescent="0.3">
      <c r="A322" s="121">
        <v>1</v>
      </c>
      <c r="B322" s="148">
        <f>SUBTOTAL(9,$A$201:A322)</f>
        <v>109</v>
      </c>
      <c r="C322" s="154" t="s">
        <v>182</v>
      </c>
      <c r="D322" s="163" t="s">
        <v>613</v>
      </c>
      <c r="E322" s="144">
        <f>F322+G322+H322+I322+J322+K322+M322+O322+Q322+S322+U322+V322+W322+X322+Z322+AA322+Y322</f>
        <v>7270971.0200000005</v>
      </c>
      <c r="F322" s="160">
        <v>0</v>
      </c>
      <c r="G322" s="160">
        <v>0</v>
      </c>
      <c r="H322" s="160">
        <v>0</v>
      </c>
      <c r="I322" s="160">
        <v>0</v>
      </c>
      <c r="J322" s="160">
        <v>0</v>
      </c>
      <c r="K322" s="160">
        <v>0</v>
      </c>
      <c r="L322" s="162">
        <v>0</v>
      </c>
      <c r="M322" s="160">
        <v>0</v>
      </c>
      <c r="N322" s="153">
        <v>572.76499999999999</v>
      </c>
      <c r="O322" s="153">
        <v>6966473.9100000001</v>
      </c>
      <c r="P322" s="160">
        <v>0</v>
      </c>
      <c r="Q322" s="160">
        <v>0</v>
      </c>
      <c r="R322" s="160">
        <v>0</v>
      </c>
      <c r="S322" s="160">
        <v>0</v>
      </c>
      <c r="T322" s="160">
        <v>0</v>
      </c>
      <c r="U322" s="160">
        <v>0</v>
      </c>
      <c r="V322" s="160">
        <v>0</v>
      </c>
      <c r="W322" s="160">
        <v>0</v>
      </c>
      <c r="X322" s="160">
        <v>0</v>
      </c>
      <c r="Y322" s="160">
        <v>200000</v>
      </c>
      <c r="Z322" s="160">
        <f>ROUND(O322*1.5%,2)</f>
        <v>104497.11</v>
      </c>
      <c r="AA322" s="160">
        <v>0</v>
      </c>
      <c r="AB322" s="150">
        <v>2027</v>
      </c>
      <c r="AC322" s="150">
        <v>2027</v>
      </c>
      <c r="AD322" s="150">
        <v>2027</v>
      </c>
    </row>
    <row r="323" spans="1:30" x14ac:dyDescent="0.3">
      <c r="B323" s="141" t="s">
        <v>692</v>
      </c>
      <c r="C323" s="141"/>
      <c r="D323" s="171"/>
      <c r="E323" s="170">
        <f>SUM(E324:E329)</f>
        <v>73267562.609999999</v>
      </c>
      <c r="F323" s="170">
        <f t="shared" ref="F323:AA323" si="91">SUM(F324:F329)</f>
        <v>0</v>
      </c>
      <c r="G323" s="170">
        <f t="shared" si="91"/>
        <v>0</v>
      </c>
      <c r="H323" s="170">
        <f t="shared" si="91"/>
        <v>0</v>
      </c>
      <c r="I323" s="170">
        <f t="shared" si="91"/>
        <v>0</v>
      </c>
      <c r="J323" s="170">
        <f t="shared" si="91"/>
        <v>0</v>
      </c>
      <c r="K323" s="170">
        <f t="shared" si="91"/>
        <v>0</v>
      </c>
      <c r="L323" s="162">
        <f t="shared" si="91"/>
        <v>0</v>
      </c>
      <c r="M323" s="170">
        <f t="shared" si="91"/>
        <v>0</v>
      </c>
      <c r="N323" s="170">
        <f t="shared" si="91"/>
        <v>5737.73</v>
      </c>
      <c r="O323" s="170">
        <f t="shared" si="91"/>
        <v>70904002.560000002</v>
      </c>
      <c r="P323" s="170">
        <f t="shared" si="91"/>
        <v>0</v>
      </c>
      <c r="Q323" s="170">
        <f t="shared" si="91"/>
        <v>0</v>
      </c>
      <c r="R323" s="170">
        <f t="shared" si="91"/>
        <v>0</v>
      </c>
      <c r="S323" s="170">
        <f t="shared" si="91"/>
        <v>0</v>
      </c>
      <c r="T323" s="170">
        <f t="shared" si="91"/>
        <v>0</v>
      </c>
      <c r="U323" s="170">
        <f t="shared" si="91"/>
        <v>0</v>
      </c>
      <c r="V323" s="170">
        <f t="shared" si="91"/>
        <v>0</v>
      </c>
      <c r="W323" s="170">
        <f t="shared" si="91"/>
        <v>0</v>
      </c>
      <c r="X323" s="170">
        <f t="shared" si="91"/>
        <v>0</v>
      </c>
      <c r="Y323" s="170">
        <f t="shared" si="91"/>
        <v>1300000</v>
      </c>
      <c r="Z323" s="170">
        <f t="shared" si="91"/>
        <v>1063560.05</v>
      </c>
      <c r="AA323" s="170">
        <f t="shared" si="91"/>
        <v>0</v>
      </c>
      <c r="AB323" s="146" t="s">
        <v>422</v>
      </c>
      <c r="AC323" s="146" t="s">
        <v>422</v>
      </c>
      <c r="AD323" s="146" t="s">
        <v>422</v>
      </c>
    </row>
    <row r="324" spans="1:30" x14ac:dyDescent="0.3">
      <c r="A324" s="121">
        <v>1</v>
      </c>
      <c r="B324" s="148">
        <f>SUBTOTAL(9,$A$201:A324)</f>
        <v>110</v>
      </c>
      <c r="C324" s="154" t="s">
        <v>186</v>
      </c>
      <c r="D324" s="163" t="s">
        <v>614</v>
      </c>
      <c r="E324" s="144">
        <f t="shared" ref="E324:E329" si="92">F324+G324+H324+I324+J324+K324+M324+O324+Q324+S324+U324+V324+W324+X324+Z324+AA324+Y324</f>
        <v>13542503.27</v>
      </c>
      <c r="F324" s="160">
        <v>0</v>
      </c>
      <c r="G324" s="160">
        <v>0</v>
      </c>
      <c r="H324" s="160">
        <v>0</v>
      </c>
      <c r="I324" s="160">
        <v>0</v>
      </c>
      <c r="J324" s="160">
        <v>0</v>
      </c>
      <c r="K324" s="160">
        <v>0</v>
      </c>
      <c r="L324" s="162">
        <v>0</v>
      </c>
      <c r="M324" s="160">
        <v>0</v>
      </c>
      <c r="N324" s="153">
        <v>1066.8</v>
      </c>
      <c r="O324" s="153">
        <v>13145323.42</v>
      </c>
      <c r="P324" s="160">
        <v>0</v>
      </c>
      <c r="Q324" s="160">
        <v>0</v>
      </c>
      <c r="R324" s="160">
        <v>0</v>
      </c>
      <c r="S324" s="160">
        <v>0</v>
      </c>
      <c r="T324" s="160">
        <v>0</v>
      </c>
      <c r="U324" s="160">
        <v>0</v>
      </c>
      <c r="V324" s="160">
        <v>0</v>
      </c>
      <c r="W324" s="160">
        <v>0</v>
      </c>
      <c r="X324" s="160">
        <v>0</v>
      </c>
      <c r="Y324" s="160">
        <v>200000</v>
      </c>
      <c r="Z324" s="160">
        <f t="shared" ref="Z324:Z327" si="93">ROUND(O324*1.5%,2)</f>
        <v>197179.85</v>
      </c>
      <c r="AA324" s="160">
        <v>0</v>
      </c>
      <c r="AB324" s="150">
        <v>2027</v>
      </c>
      <c r="AC324" s="150">
        <v>2027</v>
      </c>
      <c r="AD324" s="150">
        <v>2027</v>
      </c>
    </row>
    <row r="325" spans="1:30" x14ac:dyDescent="0.3">
      <c r="A325" s="121">
        <v>1</v>
      </c>
      <c r="B325" s="148">
        <f>SUBTOTAL(9,$A$201:A325)</f>
        <v>111</v>
      </c>
      <c r="C325" s="154" t="s">
        <v>187</v>
      </c>
      <c r="D325" s="163" t="s">
        <v>614</v>
      </c>
      <c r="E325" s="144">
        <f t="shared" si="92"/>
        <v>13840824.25</v>
      </c>
      <c r="F325" s="160">
        <v>0</v>
      </c>
      <c r="G325" s="160">
        <v>0</v>
      </c>
      <c r="H325" s="160">
        <v>0</v>
      </c>
      <c r="I325" s="160">
        <v>0</v>
      </c>
      <c r="J325" s="160">
        <v>0</v>
      </c>
      <c r="K325" s="160">
        <v>0</v>
      </c>
      <c r="L325" s="162">
        <v>0</v>
      </c>
      <c r="M325" s="160">
        <v>0</v>
      </c>
      <c r="N325" s="153">
        <v>1090.3</v>
      </c>
      <c r="O325" s="153">
        <v>13439235.710000001</v>
      </c>
      <c r="P325" s="160">
        <v>0</v>
      </c>
      <c r="Q325" s="160">
        <v>0</v>
      </c>
      <c r="R325" s="160">
        <v>0</v>
      </c>
      <c r="S325" s="160">
        <v>0</v>
      </c>
      <c r="T325" s="160">
        <v>0</v>
      </c>
      <c r="U325" s="160">
        <v>0</v>
      </c>
      <c r="V325" s="160">
        <v>0</v>
      </c>
      <c r="W325" s="160">
        <v>0</v>
      </c>
      <c r="X325" s="160">
        <v>0</v>
      </c>
      <c r="Y325" s="160">
        <v>200000</v>
      </c>
      <c r="Z325" s="160">
        <f t="shared" si="93"/>
        <v>201588.54</v>
      </c>
      <c r="AA325" s="160">
        <v>0</v>
      </c>
      <c r="AB325" s="150">
        <v>2027</v>
      </c>
      <c r="AC325" s="150">
        <v>2027</v>
      </c>
      <c r="AD325" s="150">
        <v>2027</v>
      </c>
    </row>
    <row r="326" spans="1:30" x14ac:dyDescent="0.3">
      <c r="A326" s="121">
        <v>1</v>
      </c>
      <c r="B326" s="148">
        <f>SUBTOTAL(9,$A$201:A326)</f>
        <v>112</v>
      </c>
      <c r="C326" s="154" t="s">
        <v>188</v>
      </c>
      <c r="D326" s="163" t="s">
        <v>614</v>
      </c>
      <c r="E326" s="144">
        <f t="shared" si="92"/>
        <v>11024293.32</v>
      </c>
      <c r="F326" s="160">
        <v>0</v>
      </c>
      <c r="G326" s="160">
        <v>0</v>
      </c>
      <c r="H326" s="160">
        <v>0</v>
      </c>
      <c r="I326" s="160">
        <v>0</v>
      </c>
      <c r="J326" s="160">
        <v>0</v>
      </c>
      <c r="K326" s="160">
        <v>0</v>
      </c>
      <c r="L326" s="162">
        <v>0</v>
      </c>
      <c r="M326" s="160">
        <v>0</v>
      </c>
      <c r="N326" s="153">
        <v>868.43</v>
      </c>
      <c r="O326" s="153">
        <v>10664328.390000001</v>
      </c>
      <c r="P326" s="160">
        <v>0</v>
      </c>
      <c r="Q326" s="160">
        <v>0</v>
      </c>
      <c r="R326" s="160">
        <v>0</v>
      </c>
      <c r="S326" s="160">
        <v>0</v>
      </c>
      <c r="T326" s="160">
        <v>0</v>
      </c>
      <c r="U326" s="160">
        <v>0</v>
      </c>
      <c r="V326" s="160">
        <v>0</v>
      </c>
      <c r="W326" s="160">
        <v>0</v>
      </c>
      <c r="X326" s="160">
        <v>0</v>
      </c>
      <c r="Y326" s="160">
        <v>200000</v>
      </c>
      <c r="Z326" s="160">
        <f t="shared" si="93"/>
        <v>159964.93</v>
      </c>
      <c r="AA326" s="160">
        <v>0</v>
      </c>
      <c r="AB326" s="150">
        <v>2027</v>
      </c>
      <c r="AC326" s="150">
        <v>2027</v>
      </c>
      <c r="AD326" s="150">
        <v>2027</v>
      </c>
    </row>
    <row r="327" spans="1:30" x14ac:dyDescent="0.3">
      <c r="A327" s="121">
        <v>1</v>
      </c>
      <c r="B327" s="148">
        <f>SUBTOTAL(9,$A$201:A327)</f>
        <v>113</v>
      </c>
      <c r="C327" s="154" t="s">
        <v>189</v>
      </c>
      <c r="D327" s="163" t="s">
        <v>614</v>
      </c>
      <c r="E327" s="144">
        <f t="shared" si="92"/>
        <v>19198872.02</v>
      </c>
      <c r="F327" s="160">
        <v>0</v>
      </c>
      <c r="G327" s="160">
        <v>0</v>
      </c>
      <c r="H327" s="160">
        <v>0</v>
      </c>
      <c r="I327" s="160">
        <v>0</v>
      </c>
      <c r="J327" s="160">
        <v>0</v>
      </c>
      <c r="K327" s="160">
        <v>0</v>
      </c>
      <c r="L327" s="162">
        <v>0</v>
      </c>
      <c r="M327" s="160">
        <v>0</v>
      </c>
      <c r="N327" s="151">
        <v>1495.2</v>
      </c>
      <c r="O327" s="153">
        <v>18668839.43</v>
      </c>
      <c r="P327" s="160">
        <v>0</v>
      </c>
      <c r="Q327" s="160">
        <v>0</v>
      </c>
      <c r="R327" s="160">
        <v>0</v>
      </c>
      <c r="S327" s="160">
        <v>0</v>
      </c>
      <c r="T327" s="160">
        <v>0</v>
      </c>
      <c r="U327" s="160">
        <v>0</v>
      </c>
      <c r="V327" s="160">
        <v>0</v>
      </c>
      <c r="W327" s="160">
        <v>0</v>
      </c>
      <c r="X327" s="160">
        <v>0</v>
      </c>
      <c r="Y327" s="160">
        <v>250000</v>
      </c>
      <c r="Z327" s="160">
        <f t="shared" si="93"/>
        <v>280032.59000000003</v>
      </c>
      <c r="AA327" s="160">
        <v>0</v>
      </c>
      <c r="AB327" s="150">
        <v>2027</v>
      </c>
      <c r="AC327" s="150">
        <v>2027</v>
      </c>
      <c r="AD327" s="150">
        <v>2027</v>
      </c>
    </row>
    <row r="328" spans="1:30" x14ac:dyDescent="0.3">
      <c r="A328" s="121">
        <v>1</v>
      </c>
      <c r="B328" s="148">
        <f>SUBTOTAL(9,$A$201:A328)</f>
        <v>114</v>
      </c>
      <c r="C328" s="154" t="s">
        <v>190</v>
      </c>
      <c r="D328" s="163" t="s">
        <v>614</v>
      </c>
      <c r="E328" s="144">
        <f>F328+G328+H328+I328+J328+K328+M328+O328+Q328+S328+U328+V328+W328+X328+Z328+AA328+Y328</f>
        <v>4189188.3</v>
      </c>
      <c r="F328" s="160">
        <v>0</v>
      </c>
      <c r="G328" s="160">
        <v>0</v>
      </c>
      <c r="H328" s="160">
        <v>0</v>
      </c>
      <c r="I328" s="160">
        <v>0</v>
      </c>
      <c r="J328" s="160">
        <v>0</v>
      </c>
      <c r="K328" s="160">
        <v>0</v>
      </c>
      <c r="L328" s="162">
        <v>0</v>
      </c>
      <c r="M328" s="160">
        <v>0</v>
      </c>
      <c r="N328" s="153">
        <v>330</v>
      </c>
      <c r="O328" s="153">
        <v>3979495.86</v>
      </c>
      <c r="P328" s="160">
        <v>0</v>
      </c>
      <c r="Q328" s="160">
        <v>0</v>
      </c>
      <c r="R328" s="160">
        <v>0</v>
      </c>
      <c r="S328" s="160">
        <v>0</v>
      </c>
      <c r="T328" s="160">
        <v>0</v>
      </c>
      <c r="U328" s="160">
        <v>0</v>
      </c>
      <c r="V328" s="160">
        <v>0</v>
      </c>
      <c r="W328" s="160">
        <v>0</v>
      </c>
      <c r="X328" s="160">
        <v>0</v>
      </c>
      <c r="Y328" s="160">
        <v>150000</v>
      </c>
      <c r="Z328" s="160">
        <f>ROUND(O328*1.5%,2)</f>
        <v>59692.44</v>
      </c>
      <c r="AA328" s="160">
        <v>0</v>
      </c>
      <c r="AB328" s="150">
        <v>2027</v>
      </c>
      <c r="AC328" s="150">
        <v>2027</v>
      </c>
      <c r="AD328" s="150">
        <v>2027</v>
      </c>
    </row>
    <row r="329" spans="1:30" x14ac:dyDescent="0.3">
      <c r="A329" s="121">
        <v>1</v>
      </c>
      <c r="B329" s="148">
        <f>SUBTOTAL(9,$A$201:A329)</f>
        <v>115</v>
      </c>
      <c r="C329" s="154" t="s">
        <v>780</v>
      </c>
      <c r="D329" s="163"/>
      <c r="E329" s="144">
        <f t="shared" si="92"/>
        <v>11471881.449999999</v>
      </c>
      <c r="F329" s="160">
        <v>0</v>
      </c>
      <c r="G329" s="160">
        <v>0</v>
      </c>
      <c r="H329" s="160">
        <v>0</v>
      </c>
      <c r="I329" s="160">
        <v>0</v>
      </c>
      <c r="J329" s="160">
        <v>0</v>
      </c>
      <c r="K329" s="160">
        <v>0</v>
      </c>
      <c r="L329" s="162">
        <v>0</v>
      </c>
      <c r="M329" s="160">
        <v>0</v>
      </c>
      <c r="N329" s="153">
        <v>887</v>
      </c>
      <c r="O329" s="153">
        <v>11006779.75</v>
      </c>
      <c r="P329" s="160">
        <v>0</v>
      </c>
      <c r="Q329" s="160">
        <v>0</v>
      </c>
      <c r="R329" s="160">
        <v>0</v>
      </c>
      <c r="S329" s="160">
        <v>0</v>
      </c>
      <c r="T329" s="160">
        <v>0</v>
      </c>
      <c r="U329" s="160">
        <v>0</v>
      </c>
      <c r="V329" s="160">
        <v>0</v>
      </c>
      <c r="W329" s="160">
        <v>0</v>
      </c>
      <c r="X329" s="160">
        <v>0</v>
      </c>
      <c r="Y329" s="160">
        <v>300000</v>
      </c>
      <c r="Z329" s="160">
        <f>ROUND(O329*1.5%,2)</f>
        <v>165101.70000000001</v>
      </c>
      <c r="AA329" s="160">
        <v>0</v>
      </c>
      <c r="AB329" s="150">
        <v>2027</v>
      </c>
      <c r="AC329" s="150">
        <v>2027</v>
      </c>
      <c r="AD329" s="150">
        <v>2027</v>
      </c>
    </row>
    <row r="330" spans="1:30" x14ac:dyDescent="0.3">
      <c r="B330" s="141" t="s">
        <v>696</v>
      </c>
      <c r="C330" s="141"/>
      <c r="D330" s="171"/>
      <c r="E330" s="170">
        <f>E331+E332+E333</f>
        <v>31395610.529999997</v>
      </c>
      <c r="F330" s="170">
        <f t="shared" ref="F330:AA330" si="94">F331+F332+F333</f>
        <v>0</v>
      </c>
      <c r="G330" s="170">
        <f t="shared" si="94"/>
        <v>0</v>
      </c>
      <c r="H330" s="170">
        <f t="shared" si="94"/>
        <v>0</v>
      </c>
      <c r="I330" s="170">
        <f t="shared" si="94"/>
        <v>0</v>
      </c>
      <c r="J330" s="170">
        <f t="shared" si="94"/>
        <v>0</v>
      </c>
      <c r="K330" s="170">
        <f t="shared" si="94"/>
        <v>0</v>
      </c>
      <c r="L330" s="141">
        <f t="shared" si="94"/>
        <v>0</v>
      </c>
      <c r="M330" s="170">
        <f t="shared" si="94"/>
        <v>0</v>
      </c>
      <c r="N330" s="170">
        <f t="shared" si="94"/>
        <v>2458</v>
      </c>
      <c r="O330" s="170">
        <f t="shared" si="94"/>
        <v>30340502.979999997</v>
      </c>
      <c r="P330" s="170">
        <f t="shared" si="94"/>
        <v>0</v>
      </c>
      <c r="Q330" s="170">
        <f t="shared" si="94"/>
        <v>0</v>
      </c>
      <c r="R330" s="170">
        <f t="shared" si="94"/>
        <v>0</v>
      </c>
      <c r="S330" s="170">
        <f t="shared" si="94"/>
        <v>0</v>
      </c>
      <c r="T330" s="170">
        <f t="shared" si="94"/>
        <v>0</v>
      </c>
      <c r="U330" s="170">
        <f t="shared" si="94"/>
        <v>0</v>
      </c>
      <c r="V330" s="170">
        <f t="shared" si="94"/>
        <v>0</v>
      </c>
      <c r="W330" s="170">
        <f t="shared" si="94"/>
        <v>0</v>
      </c>
      <c r="X330" s="170">
        <f t="shared" si="94"/>
        <v>0</v>
      </c>
      <c r="Y330" s="170">
        <f t="shared" si="94"/>
        <v>600000</v>
      </c>
      <c r="Z330" s="170">
        <f t="shared" si="94"/>
        <v>455107.55000000005</v>
      </c>
      <c r="AA330" s="170">
        <f t="shared" si="94"/>
        <v>0</v>
      </c>
      <c r="AB330" s="146" t="s">
        <v>422</v>
      </c>
      <c r="AC330" s="146" t="s">
        <v>422</v>
      </c>
      <c r="AD330" s="146" t="s">
        <v>422</v>
      </c>
    </row>
    <row r="331" spans="1:30" x14ac:dyDescent="0.3">
      <c r="A331" s="121">
        <v>1</v>
      </c>
      <c r="B331" s="148">
        <f>SUBTOTAL(9,$A$201:A331)</f>
        <v>116</v>
      </c>
      <c r="C331" s="154" t="s">
        <v>201</v>
      </c>
      <c r="D331" s="163" t="s">
        <v>615</v>
      </c>
      <c r="E331" s="144">
        <f>F331+G331+H331+I331+J331+K331+M331+O331+Q331+S331+U331+V331+W331+X331+Z331+AA331+Y331</f>
        <v>12110562.539999999</v>
      </c>
      <c r="F331" s="160">
        <v>0</v>
      </c>
      <c r="G331" s="160">
        <v>0</v>
      </c>
      <c r="H331" s="160">
        <v>0</v>
      </c>
      <c r="I331" s="160">
        <v>0</v>
      </c>
      <c r="J331" s="160">
        <v>0</v>
      </c>
      <c r="K331" s="160">
        <v>0</v>
      </c>
      <c r="L331" s="162">
        <v>0</v>
      </c>
      <c r="M331" s="160">
        <v>0</v>
      </c>
      <c r="N331" s="151">
        <v>954</v>
      </c>
      <c r="O331" s="153">
        <v>11734544.369999999</v>
      </c>
      <c r="P331" s="160">
        <v>0</v>
      </c>
      <c r="Q331" s="160">
        <v>0</v>
      </c>
      <c r="R331" s="160">
        <v>0</v>
      </c>
      <c r="S331" s="160">
        <v>0</v>
      </c>
      <c r="T331" s="160">
        <v>0</v>
      </c>
      <c r="U331" s="160">
        <v>0</v>
      </c>
      <c r="V331" s="160">
        <v>0</v>
      </c>
      <c r="W331" s="160">
        <v>0</v>
      </c>
      <c r="X331" s="160">
        <v>0</v>
      </c>
      <c r="Y331" s="160">
        <v>200000</v>
      </c>
      <c r="Z331" s="160">
        <f>ROUND(O331*1.5%,2)</f>
        <v>176018.17</v>
      </c>
      <c r="AA331" s="160">
        <v>0</v>
      </c>
      <c r="AB331" s="150">
        <v>2027</v>
      </c>
      <c r="AC331" s="150">
        <v>2027</v>
      </c>
      <c r="AD331" s="150">
        <v>2027</v>
      </c>
    </row>
    <row r="332" spans="1:30" x14ac:dyDescent="0.3">
      <c r="A332" s="121">
        <v>1</v>
      </c>
      <c r="B332" s="148">
        <f>SUBTOTAL(9,$A$201:A332)</f>
        <v>117</v>
      </c>
      <c r="C332" s="154" t="s">
        <v>202</v>
      </c>
      <c r="D332" s="163" t="s">
        <v>615</v>
      </c>
      <c r="E332" s="144">
        <f>F332+G332+H332+I332+J332+K332+M332+O332+Q332+S332+U332+V332+W332+X332+Z332+AA332+Y332</f>
        <v>10424280.01</v>
      </c>
      <c r="F332" s="160">
        <v>0</v>
      </c>
      <c r="G332" s="160">
        <v>0</v>
      </c>
      <c r="H332" s="160">
        <v>0</v>
      </c>
      <c r="I332" s="160">
        <v>0</v>
      </c>
      <c r="J332" s="160">
        <v>0</v>
      </c>
      <c r="K332" s="160">
        <v>0</v>
      </c>
      <c r="L332" s="162">
        <v>0</v>
      </c>
      <c r="M332" s="160">
        <v>0</v>
      </c>
      <c r="N332" s="151">
        <v>806</v>
      </c>
      <c r="O332" s="153">
        <v>10073182.279999999</v>
      </c>
      <c r="P332" s="160">
        <v>0</v>
      </c>
      <c r="Q332" s="160">
        <v>0</v>
      </c>
      <c r="R332" s="160">
        <v>0</v>
      </c>
      <c r="S332" s="160">
        <v>0</v>
      </c>
      <c r="T332" s="160">
        <v>0</v>
      </c>
      <c r="U332" s="160">
        <v>0</v>
      </c>
      <c r="V332" s="160">
        <v>0</v>
      </c>
      <c r="W332" s="160">
        <v>0</v>
      </c>
      <c r="X332" s="160">
        <v>0</v>
      </c>
      <c r="Y332" s="160">
        <v>200000</v>
      </c>
      <c r="Z332" s="160">
        <f>ROUND(O332*1.5%,2)</f>
        <v>151097.73000000001</v>
      </c>
      <c r="AA332" s="160">
        <v>0</v>
      </c>
      <c r="AB332" s="150">
        <v>2027</v>
      </c>
      <c r="AC332" s="150">
        <v>2027</v>
      </c>
      <c r="AD332" s="150">
        <v>2027</v>
      </c>
    </row>
    <row r="333" spans="1:30" x14ac:dyDescent="0.3">
      <c r="A333" s="121">
        <v>1</v>
      </c>
      <c r="B333" s="148">
        <f>SUBTOTAL(9,$A$201:A333)</f>
        <v>118</v>
      </c>
      <c r="C333" s="154" t="s">
        <v>203</v>
      </c>
      <c r="D333" s="163" t="s">
        <v>615</v>
      </c>
      <c r="E333" s="144">
        <f>F333+G333+H333+I333+J333+K333+M333+O333+Q333+S333+U333+V333+W333+X333+Z333+AA333+Y333</f>
        <v>8860767.9800000004</v>
      </c>
      <c r="F333" s="160">
        <v>0</v>
      </c>
      <c r="G333" s="160">
        <v>0</v>
      </c>
      <c r="H333" s="160">
        <v>0</v>
      </c>
      <c r="I333" s="160">
        <v>0</v>
      </c>
      <c r="J333" s="160">
        <v>0</v>
      </c>
      <c r="K333" s="160">
        <v>0</v>
      </c>
      <c r="L333" s="162">
        <v>0</v>
      </c>
      <c r="M333" s="160">
        <v>0</v>
      </c>
      <c r="N333" s="151">
        <v>698</v>
      </c>
      <c r="O333" s="153">
        <v>8532776.3300000001</v>
      </c>
      <c r="P333" s="160">
        <v>0</v>
      </c>
      <c r="Q333" s="160">
        <v>0</v>
      </c>
      <c r="R333" s="160">
        <v>0</v>
      </c>
      <c r="S333" s="160">
        <v>0</v>
      </c>
      <c r="T333" s="160">
        <v>0</v>
      </c>
      <c r="U333" s="160">
        <v>0</v>
      </c>
      <c r="V333" s="160">
        <v>0</v>
      </c>
      <c r="W333" s="160">
        <v>0</v>
      </c>
      <c r="X333" s="160">
        <v>0</v>
      </c>
      <c r="Y333" s="160">
        <v>200000</v>
      </c>
      <c r="Z333" s="160">
        <f>ROUND(O333*1.5%,2)+0.01</f>
        <v>127991.65</v>
      </c>
      <c r="AA333" s="160">
        <v>0</v>
      </c>
      <c r="AB333" s="150">
        <v>2027</v>
      </c>
      <c r="AC333" s="150">
        <v>2027</v>
      </c>
      <c r="AD333" s="150">
        <v>2027</v>
      </c>
    </row>
    <row r="334" spans="1:30" x14ac:dyDescent="0.3">
      <c r="B334" s="141" t="s">
        <v>667</v>
      </c>
      <c r="C334" s="141"/>
      <c r="D334" s="171"/>
      <c r="E334" s="170">
        <f>SUM(E335:E336)</f>
        <v>12274100.550000001</v>
      </c>
      <c r="F334" s="160">
        <f t="shared" ref="F334:AA334" si="95">SUM(F335:F336)</f>
        <v>0</v>
      </c>
      <c r="G334" s="160">
        <f t="shared" si="95"/>
        <v>0</v>
      </c>
      <c r="H334" s="160">
        <f t="shared" si="95"/>
        <v>0</v>
      </c>
      <c r="I334" s="160">
        <f t="shared" si="95"/>
        <v>0</v>
      </c>
      <c r="J334" s="160">
        <f t="shared" si="95"/>
        <v>0</v>
      </c>
      <c r="K334" s="160">
        <f t="shared" si="95"/>
        <v>0</v>
      </c>
      <c r="L334" s="162">
        <f t="shared" si="95"/>
        <v>0</v>
      </c>
      <c r="M334" s="160">
        <f t="shared" si="95"/>
        <v>0</v>
      </c>
      <c r="N334" s="160">
        <f t="shared" si="95"/>
        <v>855</v>
      </c>
      <c r="O334" s="160">
        <f t="shared" si="95"/>
        <v>11698621.23</v>
      </c>
      <c r="P334" s="160">
        <f t="shared" si="95"/>
        <v>0</v>
      </c>
      <c r="Q334" s="160">
        <f t="shared" si="95"/>
        <v>0</v>
      </c>
      <c r="R334" s="160">
        <f t="shared" si="95"/>
        <v>0</v>
      </c>
      <c r="S334" s="160">
        <f t="shared" si="95"/>
        <v>0</v>
      </c>
      <c r="T334" s="160">
        <f t="shared" si="95"/>
        <v>0</v>
      </c>
      <c r="U334" s="160">
        <f t="shared" si="95"/>
        <v>0</v>
      </c>
      <c r="V334" s="160">
        <f t="shared" si="95"/>
        <v>0</v>
      </c>
      <c r="W334" s="160">
        <f t="shared" si="95"/>
        <v>0</v>
      </c>
      <c r="X334" s="160">
        <f t="shared" si="95"/>
        <v>0</v>
      </c>
      <c r="Y334" s="160">
        <f t="shared" si="95"/>
        <v>400000</v>
      </c>
      <c r="Z334" s="160">
        <f t="shared" si="95"/>
        <v>175479.32</v>
      </c>
      <c r="AA334" s="160">
        <f t="shared" si="95"/>
        <v>0</v>
      </c>
      <c r="AB334" s="146" t="s">
        <v>422</v>
      </c>
      <c r="AC334" s="146" t="s">
        <v>422</v>
      </c>
      <c r="AD334" s="146" t="s">
        <v>422</v>
      </c>
    </row>
    <row r="335" spans="1:30" x14ac:dyDescent="0.3">
      <c r="A335" s="121">
        <v>1</v>
      </c>
      <c r="B335" s="148">
        <f>SUBTOTAL(9,$A$201:A335)</f>
        <v>119</v>
      </c>
      <c r="C335" s="154" t="s">
        <v>210</v>
      </c>
      <c r="D335" s="163" t="s">
        <v>616</v>
      </c>
      <c r="E335" s="144">
        <f t="shared" ref="E335:E336" si="96">F335+G335+H335+I335+J335+K335+M335+O335+Q335+S335+U335+V335+W335+X335+Z335+AA335+Y335</f>
        <v>7426288.3500000006</v>
      </c>
      <c r="F335" s="160">
        <v>0</v>
      </c>
      <c r="G335" s="160">
        <v>0</v>
      </c>
      <c r="H335" s="160">
        <v>0</v>
      </c>
      <c r="I335" s="160">
        <v>0</v>
      </c>
      <c r="J335" s="160">
        <v>0</v>
      </c>
      <c r="K335" s="160">
        <v>0</v>
      </c>
      <c r="L335" s="162">
        <v>0</v>
      </c>
      <c r="M335" s="160">
        <v>0</v>
      </c>
      <c r="N335" s="177">
        <v>585</v>
      </c>
      <c r="O335" s="153">
        <v>7119495.9100000001</v>
      </c>
      <c r="P335" s="160">
        <v>0</v>
      </c>
      <c r="Q335" s="160">
        <v>0</v>
      </c>
      <c r="R335" s="160">
        <v>0</v>
      </c>
      <c r="S335" s="160">
        <v>0</v>
      </c>
      <c r="T335" s="160">
        <v>0</v>
      </c>
      <c r="U335" s="160">
        <v>0</v>
      </c>
      <c r="V335" s="160">
        <v>0</v>
      </c>
      <c r="W335" s="160">
        <v>0</v>
      </c>
      <c r="X335" s="160">
        <v>0</v>
      </c>
      <c r="Y335" s="160">
        <v>200000</v>
      </c>
      <c r="Z335" s="160">
        <f t="shared" ref="Z335:Z336" si="97">ROUND(O335*1.5%,2)</f>
        <v>106792.44</v>
      </c>
      <c r="AA335" s="160">
        <v>0</v>
      </c>
      <c r="AB335" s="150">
        <v>2027</v>
      </c>
      <c r="AC335" s="150">
        <v>2027</v>
      </c>
      <c r="AD335" s="150">
        <v>2027</v>
      </c>
    </row>
    <row r="336" spans="1:30" ht="24.75" customHeight="1" x14ac:dyDescent="0.3">
      <c r="A336" s="121">
        <v>1</v>
      </c>
      <c r="B336" s="148">
        <f>SUBTOTAL(9,$A$201:A336)</f>
        <v>120</v>
      </c>
      <c r="C336" s="154" t="s">
        <v>211</v>
      </c>
      <c r="D336" s="163" t="s">
        <v>616</v>
      </c>
      <c r="E336" s="144">
        <f t="shared" si="96"/>
        <v>4847812.2</v>
      </c>
      <c r="F336" s="160">
        <v>0</v>
      </c>
      <c r="G336" s="160">
        <v>0</v>
      </c>
      <c r="H336" s="160">
        <v>0</v>
      </c>
      <c r="I336" s="160">
        <v>0</v>
      </c>
      <c r="J336" s="160">
        <v>0</v>
      </c>
      <c r="K336" s="160">
        <v>0</v>
      </c>
      <c r="L336" s="162">
        <v>0</v>
      </c>
      <c r="M336" s="160">
        <v>0</v>
      </c>
      <c r="N336" s="177">
        <v>270</v>
      </c>
      <c r="O336" s="153">
        <v>4579125.32</v>
      </c>
      <c r="P336" s="160">
        <v>0</v>
      </c>
      <c r="Q336" s="160">
        <v>0</v>
      </c>
      <c r="R336" s="160">
        <v>0</v>
      </c>
      <c r="S336" s="160">
        <v>0</v>
      </c>
      <c r="T336" s="160">
        <v>0</v>
      </c>
      <c r="U336" s="160">
        <v>0</v>
      </c>
      <c r="V336" s="160">
        <v>0</v>
      </c>
      <c r="W336" s="160">
        <v>0</v>
      </c>
      <c r="X336" s="160">
        <v>0</v>
      </c>
      <c r="Y336" s="160">
        <v>200000</v>
      </c>
      <c r="Z336" s="160">
        <f t="shared" si="97"/>
        <v>68686.880000000005</v>
      </c>
      <c r="AA336" s="160">
        <v>0</v>
      </c>
      <c r="AB336" s="150">
        <v>2027</v>
      </c>
      <c r="AC336" s="150">
        <v>2027</v>
      </c>
      <c r="AD336" s="150">
        <v>2027</v>
      </c>
    </row>
    <row r="337" spans="1:30" x14ac:dyDescent="0.3">
      <c r="B337" s="141" t="s">
        <v>221</v>
      </c>
      <c r="C337" s="141"/>
      <c r="D337" s="171"/>
      <c r="E337" s="170">
        <f>SUM(E338:E339)</f>
        <v>10822302.309999999</v>
      </c>
      <c r="F337" s="160">
        <f t="shared" ref="F337:AA337" si="98">SUM(F338:F339)</f>
        <v>0</v>
      </c>
      <c r="G337" s="160">
        <f t="shared" si="98"/>
        <v>0</v>
      </c>
      <c r="H337" s="160">
        <f t="shared" si="98"/>
        <v>0</v>
      </c>
      <c r="I337" s="160">
        <f t="shared" si="98"/>
        <v>0</v>
      </c>
      <c r="J337" s="160">
        <f t="shared" si="98"/>
        <v>0</v>
      </c>
      <c r="K337" s="160">
        <f t="shared" si="98"/>
        <v>0</v>
      </c>
      <c r="L337" s="162">
        <f t="shared" si="98"/>
        <v>0</v>
      </c>
      <c r="M337" s="160">
        <f t="shared" si="98"/>
        <v>0</v>
      </c>
      <c r="N337" s="160">
        <f t="shared" si="98"/>
        <v>881.3</v>
      </c>
      <c r="O337" s="160">
        <f t="shared" si="98"/>
        <v>10268278.140000001</v>
      </c>
      <c r="P337" s="160">
        <f t="shared" si="98"/>
        <v>0</v>
      </c>
      <c r="Q337" s="160">
        <f t="shared" si="98"/>
        <v>0</v>
      </c>
      <c r="R337" s="160">
        <f t="shared" si="98"/>
        <v>0</v>
      </c>
      <c r="S337" s="160">
        <f t="shared" si="98"/>
        <v>0</v>
      </c>
      <c r="T337" s="160">
        <f t="shared" si="98"/>
        <v>0</v>
      </c>
      <c r="U337" s="160">
        <f t="shared" si="98"/>
        <v>0</v>
      </c>
      <c r="V337" s="160">
        <f t="shared" si="98"/>
        <v>0</v>
      </c>
      <c r="W337" s="160">
        <f t="shared" si="98"/>
        <v>0</v>
      </c>
      <c r="X337" s="160">
        <f t="shared" si="98"/>
        <v>0</v>
      </c>
      <c r="Y337" s="160">
        <f t="shared" si="98"/>
        <v>400000</v>
      </c>
      <c r="Z337" s="160">
        <f t="shared" si="98"/>
        <v>154024.16999999998</v>
      </c>
      <c r="AA337" s="160">
        <f t="shared" si="98"/>
        <v>0</v>
      </c>
      <c r="AB337" s="146" t="s">
        <v>422</v>
      </c>
      <c r="AC337" s="146" t="s">
        <v>422</v>
      </c>
      <c r="AD337" s="146" t="s">
        <v>422</v>
      </c>
    </row>
    <row r="338" spans="1:30" x14ac:dyDescent="0.3">
      <c r="A338" s="121">
        <v>1</v>
      </c>
      <c r="B338" s="148">
        <f>SUBTOTAL(9,$A$201:A338)</f>
        <v>121</v>
      </c>
      <c r="C338" s="154" t="s">
        <v>218</v>
      </c>
      <c r="D338" s="163" t="s">
        <v>617</v>
      </c>
      <c r="E338" s="144">
        <f t="shared" ref="E338:E339" si="99">F338+G338+H338+I338+J338+K338+M338+O338+Q338+S338+U338+V338+W338+X338+Z338+AA338+Y338</f>
        <v>4559538.01</v>
      </c>
      <c r="F338" s="160">
        <v>0</v>
      </c>
      <c r="G338" s="160">
        <v>0</v>
      </c>
      <c r="H338" s="160">
        <v>0</v>
      </c>
      <c r="I338" s="160">
        <v>0</v>
      </c>
      <c r="J338" s="160">
        <v>0</v>
      </c>
      <c r="K338" s="160">
        <v>0</v>
      </c>
      <c r="L338" s="162">
        <v>0</v>
      </c>
      <c r="M338" s="160">
        <v>0</v>
      </c>
      <c r="N338" s="177">
        <v>371.3</v>
      </c>
      <c r="O338" s="153">
        <v>4295111.34</v>
      </c>
      <c r="P338" s="160">
        <v>0</v>
      </c>
      <c r="Q338" s="160">
        <v>0</v>
      </c>
      <c r="R338" s="160">
        <v>0</v>
      </c>
      <c r="S338" s="160">
        <v>0</v>
      </c>
      <c r="T338" s="160">
        <v>0</v>
      </c>
      <c r="U338" s="160">
        <v>0</v>
      </c>
      <c r="V338" s="160">
        <v>0</v>
      </c>
      <c r="W338" s="160">
        <v>0</v>
      </c>
      <c r="X338" s="160">
        <v>0</v>
      </c>
      <c r="Y338" s="160">
        <v>200000</v>
      </c>
      <c r="Z338" s="160">
        <f t="shared" ref="Z338:Z339" si="100">ROUND(O338*1.5%,2)</f>
        <v>64426.67</v>
      </c>
      <c r="AA338" s="160">
        <v>0</v>
      </c>
      <c r="AB338" s="150">
        <v>2027</v>
      </c>
      <c r="AC338" s="150">
        <v>2027</v>
      </c>
      <c r="AD338" s="150">
        <v>2027</v>
      </c>
    </row>
    <row r="339" spans="1:30" x14ac:dyDescent="0.3">
      <c r="A339" s="121">
        <v>1</v>
      </c>
      <c r="B339" s="148">
        <f>SUBTOTAL(9,$A$201:A339)</f>
        <v>122</v>
      </c>
      <c r="C339" s="154" t="s">
        <v>219</v>
      </c>
      <c r="D339" s="163" t="s">
        <v>617</v>
      </c>
      <c r="E339" s="144">
        <f t="shared" si="99"/>
        <v>6262764.2999999998</v>
      </c>
      <c r="F339" s="160">
        <v>0</v>
      </c>
      <c r="G339" s="160">
        <v>0</v>
      </c>
      <c r="H339" s="160">
        <v>0</v>
      </c>
      <c r="I339" s="160">
        <v>0</v>
      </c>
      <c r="J339" s="160">
        <v>0</v>
      </c>
      <c r="K339" s="160">
        <v>0</v>
      </c>
      <c r="L339" s="162">
        <v>0</v>
      </c>
      <c r="M339" s="160">
        <v>0</v>
      </c>
      <c r="N339" s="177">
        <v>510</v>
      </c>
      <c r="O339" s="153">
        <v>5973166.7999999998</v>
      </c>
      <c r="P339" s="160">
        <v>0</v>
      </c>
      <c r="Q339" s="160">
        <v>0</v>
      </c>
      <c r="R339" s="160">
        <v>0</v>
      </c>
      <c r="S339" s="160">
        <v>0</v>
      </c>
      <c r="T339" s="160">
        <v>0</v>
      </c>
      <c r="U339" s="160">
        <v>0</v>
      </c>
      <c r="V339" s="160">
        <v>0</v>
      </c>
      <c r="W339" s="160">
        <v>0</v>
      </c>
      <c r="X339" s="160">
        <v>0</v>
      </c>
      <c r="Y339" s="160">
        <v>200000</v>
      </c>
      <c r="Z339" s="160">
        <f t="shared" si="100"/>
        <v>89597.5</v>
      </c>
      <c r="AA339" s="160">
        <v>0</v>
      </c>
      <c r="AB339" s="150">
        <v>2027</v>
      </c>
      <c r="AC339" s="150">
        <v>2027</v>
      </c>
      <c r="AD339" s="150">
        <v>2027</v>
      </c>
    </row>
    <row r="340" spans="1:30" x14ac:dyDescent="0.3">
      <c r="B340" s="147" t="s">
        <v>694</v>
      </c>
      <c r="C340" s="147"/>
      <c r="D340" s="172"/>
      <c r="E340" s="153">
        <f>SUM(E341:E342)</f>
        <v>42260023.789999999</v>
      </c>
      <c r="F340" s="153">
        <f t="shared" ref="F340:AA340" si="101">SUM(F341:F342)</f>
        <v>0</v>
      </c>
      <c r="G340" s="153">
        <f t="shared" si="101"/>
        <v>0</v>
      </c>
      <c r="H340" s="153">
        <f t="shared" si="101"/>
        <v>0</v>
      </c>
      <c r="I340" s="153">
        <f t="shared" si="101"/>
        <v>0</v>
      </c>
      <c r="J340" s="153">
        <f t="shared" si="101"/>
        <v>0</v>
      </c>
      <c r="K340" s="153">
        <f t="shared" si="101"/>
        <v>0</v>
      </c>
      <c r="L340" s="162">
        <f t="shared" si="101"/>
        <v>0</v>
      </c>
      <c r="M340" s="153">
        <f t="shared" si="101"/>
        <v>0</v>
      </c>
      <c r="N340" s="153">
        <f t="shared" si="101"/>
        <v>3329</v>
      </c>
      <c r="O340" s="153">
        <f t="shared" si="101"/>
        <v>41093619.489999995</v>
      </c>
      <c r="P340" s="153">
        <f t="shared" si="101"/>
        <v>0</v>
      </c>
      <c r="Q340" s="153">
        <f t="shared" si="101"/>
        <v>0</v>
      </c>
      <c r="R340" s="153">
        <f t="shared" si="101"/>
        <v>0</v>
      </c>
      <c r="S340" s="153">
        <f t="shared" si="101"/>
        <v>0</v>
      </c>
      <c r="T340" s="153">
        <f t="shared" si="101"/>
        <v>0</v>
      </c>
      <c r="U340" s="153">
        <f t="shared" si="101"/>
        <v>0</v>
      </c>
      <c r="V340" s="153">
        <f t="shared" si="101"/>
        <v>0</v>
      </c>
      <c r="W340" s="153">
        <f t="shared" si="101"/>
        <v>0</v>
      </c>
      <c r="X340" s="153">
        <f t="shared" si="101"/>
        <v>0</v>
      </c>
      <c r="Y340" s="153">
        <f t="shared" si="101"/>
        <v>550000</v>
      </c>
      <c r="Z340" s="153">
        <f t="shared" si="101"/>
        <v>616404.30000000005</v>
      </c>
      <c r="AA340" s="153">
        <f t="shared" si="101"/>
        <v>0</v>
      </c>
      <c r="AB340" s="146" t="s">
        <v>422</v>
      </c>
      <c r="AC340" s="146" t="s">
        <v>422</v>
      </c>
      <c r="AD340" s="146" t="s">
        <v>422</v>
      </c>
    </row>
    <row r="341" spans="1:30" x14ac:dyDescent="0.3">
      <c r="A341" s="121">
        <v>1</v>
      </c>
      <c r="B341" s="148">
        <f>SUBTOTAL(9,$A$201:A341)</f>
        <v>123</v>
      </c>
      <c r="C341" s="154" t="s">
        <v>282</v>
      </c>
      <c r="D341" s="163" t="s">
        <v>618</v>
      </c>
      <c r="E341" s="144">
        <f>F341+G341+H341+I341+J341+K341+M341+O341+Q341+S341+U341+V341+W341+X341+Z341+AA341+Y341</f>
        <v>19409905.789999999</v>
      </c>
      <c r="F341" s="160">
        <v>0</v>
      </c>
      <c r="G341" s="160">
        <v>0</v>
      </c>
      <c r="H341" s="160">
        <v>0</v>
      </c>
      <c r="I341" s="160">
        <v>0</v>
      </c>
      <c r="J341" s="160">
        <v>0</v>
      </c>
      <c r="K341" s="160">
        <v>0</v>
      </c>
      <c r="L341" s="162">
        <v>0</v>
      </c>
      <c r="M341" s="160">
        <v>0</v>
      </c>
      <c r="N341" s="160">
        <v>1529</v>
      </c>
      <c r="O341" s="153">
        <v>18876754.469999999</v>
      </c>
      <c r="P341" s="160">
        <v>0</v>
      </c>
      <c r="Q341" s="160">
        <v>0</v>
      </c>
      <c r="R341" s="160">
        <v>0</v>
      </c>
      <c r="S341" s="160">
        <v>0</v>
      </c>
      <c r="T341" s="160">
        <v>0</v>
      </c>
      <c r="U341" s="160">
        <v>0</v>
      </c>
      <c r="V341" s="160">
        <v>0</v>
      </c>
      <c r="W341" s="160">
        <v>0</v>
      </c>
      <c r="X341" s="160">
        <v>0</v>
      </c>
      <c r="Y341" s="160">
        <v>250000</v>
      </c>
      <c r="Z341" s="160">
        <f>ROUND(O341*1.5%,2)</f>
        <v>283151.32</v>
      </c>
      <c r="AA341" s="160">
        <v>0</v>
      </c>
      <c r="AB341" s="150">
        <v>2027</v>
      </c>
      <c r="AC341" s="150">
        <v>2027</v>
      </c>
      <c r="AD341" s="150">
        <v>2027</v>
      </c>
    </row>
    <row r="342" spans="1:30" x14ac:dyDescent="0.3">
      <c r="A342" s="121">
        <v>1</v>
      </c>
      <c r="B342" s="148">
        <f>SUBTOTAL(9,$A$201:A342)</f>
        <v>124</v>
      </c>
      <c r="C342" s="154" t="s">
        <v>283</v>
      </c>
      <c r="D342" s="163" t="s">
        <v>618</v>
      </c>
      <c r="E342" s="144">
        <f>F342+G342+H342+I342+J342+K342+M342+O342+Q342+S342+U342+V342+W342+X342+Z342+AA342+Y342</f>
        <v>22850118</v>
      </c>
      <c r="F342" s="178">
        <v>0</v>
      </c>
      <c r="G342" s="178">
        <v>0</v>
      </c>
      <c r="H342" s="178">
        <v>0</v>
      </c>
      <c r="I342" s="178">
        <v>0</v>
      </c>
      <c r="J342" s="178">
        <v>0</v>
      </c>
      <c r="K342" s="178">
        <v>0</v>
      </c>
      <c r="L342" s="179">
        <v>0</v>
      </c>
      <c r="M342" s="178">
        <v>0</v>
      </c>
      <c r="N342" s="153">
        <v>1800</v>
      </c>
      <c r="O342" s="153">
        <v>22216865.02</v>
      </c>
      <c r="P342" s="178">
        <v>0</v>
      </c>
      <c r="Q342" s="178">
        <v>0</v>
      </c>
      <c r="R342" s="153">
        <v>0</v>
      </c>
      <c r="S342" s="153">
        <v>0</v>
      </c>
      <c r="T342" s="160">
        <v>0</v>
      </c>
      <c r="U342" s="160">
        <v>0</v>
      </c>
      <c r="V342" s="160">
        <v>0</v>
      </c>
      <c r="W342" s="160">
        <v>0</v>
      </c>
      <c r="X342" s="160">
        <v>0</v>
      </c>
      <c r="Y342" s="160">
        <v>300000</v>
      </c>
      <c r="Z342" s="160">
        <f>ROUND(O342*1.5%,2)</f>
        <v>333252.98</v>
      </c>
      <c r="AA342" s="160">
        <v>0</v>
      </c>
      <c r="AB342" s="150">
        <v>2027</v>
      </c>
      <c r="AC342" s="150">
        <v>2027</v>
      </c>
      <c r="AD342" s="150">
        <v>2027</v>
      </c>
    </row>
    <row r="343" spans="1:30" x14ac:dyDescent="0.3">
      <c r="B343" s="147" t="s">
        <v>695</v>
      </c>
      <c r="C343" s="147"/>
      <c r="D343" s="172"/>
      <c r="E343" s="153">
        <f>SUM(E344:E346)</f>
        <v>54198804.079999998</v>
      </c>
      <c r="F343" s="153">
        <f t="shared" ref="F343:AA343" si="102">SUM(F344:F346)</f>
        <v>0</v>
      </c>
      <c r="G343" s="153">
        <f t="shared" si="102"/>
        <v>0</v>
      </c>
      <c r="H343" s="153">
        <f t="shared" si="102"/>
        <v>0</v>
      </c>
      <c r="I343" s="153">
        <f t="shared" si="102"/>
        <v>0</v>
      </c>
      <c r="J343" s="153">
        <f t="shared" si="102"/>
        <v>0</v>
      </c>
      <c r="K343" s="153">
        <f t="shared" si="102"/>
        <v>0</v>
      </c>
      <c r="L343" s="162">
        <f t="shared" si="102"/>
        <v>0</v>
      </c>
      <c r="M343" s="153">
        <f t="shared" si="102"/>
        <v>0</v>
      </c>
      <c r="N343" s="153">
        <f t="shared" si="102"/>
        <v>4481</v>
      </c>
      <c r="O343" s="153">
        <f t="shared" si="102"/>
        <v>52708181.369999997</v>
      </c>
      <c r="P343" s="153">
        <f t="shared" si="102"/>
        <v>0</v>
      </c>
      <c r="Q343" s="153">
        <f t="shared" si="102"/>
        <v>0</v>
      </c>
      <c r="R343" s="153">
        <f t="shared" si="102"/>
        <v>0</v>
      </c>
      <c r="S343" s="153">
        <f t="shared" si="102"/>
        <v>0</v>
      </c>
      <c r="T343" s="153">
        <f t="shared" si="102"/>
        <v>0</v>
      </c>
      <c r="U343" s="153">
        <f t="shared" si="102"/>
        <v>0</v>
      </c>
      <c r="V343" s="153">
        <f t="shared" si="102"/>
        <v>0</v>
      </c>
      <c r="W343" s="153">
        <f t="shared" si="102"/>
        <v>0</v>
      </c>
      <c r="X343" s="153">
        <f t="shared" si="102"/>
        <v>0</v>
      </c>
      <c r="Y343" s="153">
        <f t="shared" si="102"/>
        <v>700000</v>
      </c>
      <c r="Z343" s="153">
        <f t="shared" si="102"/>
        <v>790622.71000000008</v>
      </c>
      <c r="AA343" s="153">
        <f t="shared" si="102"/>
        <v>0</v>
      </c>
      <c r="AB343" s="146" t="s">
        <v>422</v>
      </c>
      <c r="AC343" s="146" t="s">
        <v>422</v>
      </c>
      <c r="AD343" s="146" t="s">
        <v>422</v>
      </c>
    </row>
    <row r="344" spans="1:30" x14ac:dyDescent="0.3">
      <c r="A344" s="121">
        <v>1</v>
      </c>
      <c r="B344" s="148">
        <f>SUBTOTAL(9,$A$201:A344)</f>
        <v>125</v>
      </c>
      <c r="C344" s="154" t="s">
        <v>284</v>
      </c>
      <c r="D344" s="163" t="s">
        <v>618</v>
      </c>
      <c r="E344" s="144">
        <f>F344+G344+H344+I344+J344+K344+M344+O344+Q344+S344+U344+V344+W344+X344+Z344+AA344+Y344</f>
        <v>20904001.079999998</v>
      </c>
      <c r="F344" s="153">
        <v>0</v>
      </c>
      <c r="G344" s="153">
        <v>0</v>
      </c>
      <c r="H344" s="153">
        <v>0</v>
      </c>
      <c r="I344" s="153">
        <v>0</v>
      </c>
      <c r="J344" s="153">
        <v>0</v>
      </c>
      <c r="K344" s="153">
        <v>0</v>
      </c>
      <c r="L344" s="173">
        <v>0</v>
      </c>
      <c r="M344" s="153">
        <v>0</v>
      </c>
      <c r="N344" s="153">
        <v>2111</v>
      </c>
      <c r="O344" s="153">
        <v>20348769.539999999</v>
      </c>
      <c r="P344" s="153">
        <v>0</v>
      </c>
      <c r="Q344" s="153">
        <v>0</v>
      </c>
      <c r="R344" s="153">
        <v>0</v>
      </c>
      <c r="S344" s="153">
        <v>0</v>
      </c>
      <c r="T344" s="160">
        <v>0</v>
      </c>
      <c r="U344" s="160">
        <v>0</v>
      </c>
      <c r="V344" s="160">
        <v>0</v>
      </c>
      <c r="W344" s="160">
        <v>0</v>
      </c>
      <c r="X344" s="160">
        <v>0</v>
      </c>
      <c r="Y344" s="160">
        <v>250000</v>
      </c>
      <c r="Z344" s="160">
        <f>ROUND(O344*1.5%,2)</f>
        <v>305231.53999999998</v>
      </c>
      <c r="AA344" s="160">
        <v>0</v>
      </c>
      <c r="AB344" s="150">
        <v>2027</v>
      </c>
      <c r="AC344" s="150">
        <v>2027</v>
      </c>
      <c r="AD344" s="150">
        <v>2027</v>
      </c>
    </row>
    <row r="345" spans="1:30" x14ac:dyDescent="0.3">
      <c r="A345" s="121">
        <v>1</v>
      </c>
      <c r="B345" s="148">
        <f>SUBTOTAL(9,$A$201:A345)</f>
        <v>126</v>
      </c>
      <c r="C345" s="154" t="s">
        <v>285</v>
      </c>
      <c r="D345" s="163" t="s">
        <v>618</v>
      </c>
      <c r="E345" s="144">
        <f t="shared" ref="E345:E346" si="103">F345+G345+H345+I345+J345+K345+M345+O345+Q345+S345+U345+V345+W345+X345+Z345+AA345+Y345</f>
        <v>22342338</v>
      </c>
      <c r="F345" s="178">
        <v>0</v>
      </c>
      <c r="G345" s="178">
        <v>0</v>
      </c>
      <c r="H345" s="178">
        <v>0</v>
      </c>
      <c r="I345" s="178">
        <v>0</v>
      </c>
      <c r="J345" s="178">
        <v>0</v>
      </c>
      <c r="K345" s="178">
        <v>0</v>
      </c>
      <c r="L345" s="179">
        <v>0</v>
      </c>
      <c r="M345" s="178">
        <v>0</v>
      </c>
      <c r="N345" s="153">
        <v>1760</v>
      </c>
      <c r="O345" s="153">
        <v>21765850.25</v>
      </c>
      <c r="P345" s="178">
        <v>0</v>
      </c>
      <c r="Q345" s="178">
        <v>0</v>
      </c>
      <c r="R345" s="153">
        <v>0</v>
      </c>
      <c r="S345" s="153">
        <v>0</v>
      </c>
      <c r="T345" s="160">
        <v>0</v>
      </c>
      <c r="U345" s="160">
        <v>0</v>
      </c>
      <c r="V345" s="160">
        <v>0</v>
      </c>
      <c r="W345" s="160">
        <v>0</v>
      </c>
      <c r="X345" s="160">
        <v>0</v>
      </c>
      <c r="Y345" s="160">
        <v>250000</v>
      </c>
      <c r="Z345" s="160">
        <f t="shared" ref="Z345:Z346" si="104">ROUND(O345*1.5%,2)</f>
        <v>326487.75</v>
      </c>
      <c r="AA345" s="160">
        <v>0</v>
      </c>
      <c r="AB345" s="150">
        <v>2027</v>
      </c>
      <c r="AC345" s="150">
        <v>2027</v>
      </c>
      <c r="AD345" s="150">
        <v>2027</v>
      </c>
    </row>
    <row r="346" spans="1:30" x14ac:dyDescent="0.3">
      <c r="A346" s="121">
        <v>1</v>
      </c>
      <c r="B346" s="148">
        <f>SUBTOTAL(9,$A$201:A346)</f>
        <v>127</v>
      </c>
      <c r="C346" s="154" t="s">
        <v>286</v>
      </c>
      <c r="D346" s="163" t="s">
        <v>618</v>
      </c>
      <c r="E346" s="144">
        <f t="shared" si="103"/>
        <v>10952465</v>
      </c>
      <c r="F346" s="178">
        <v>0</v>
      </c>
      <c r="G346" s="178">
        <v>0</v>
      </c>
      <c r="H346" s="178">
        <v>0</v>
      </c>
      <c r="I346" s="178">
        <v>0</v>
      </c>
      <c r="J346" s="178">
        <v>0</v>
      </c>
      <c r="K346" s="178">
        <v>0</v>
      </c>
      <c r="L346" s="179">
        <v>0</v>
      </c>
      <c r="M346" s="178">
        <v>0</v>
      </c>
      <c r="N346" s="153">
        <v>610</v>
      </c>
      <c r="O346" s="153">
        <v>10593561.58</v>
      </c>
      <c r="P346" s="178">
        <v>0</v>
      </c>
      <c r="Q346" s="178">
        <v>0</v>
      </c>
      <c r="R346" s="153">
        <v>0</v>
      </c>
      <c r="S346" s="153">
        <v>0</v>
      </c>
      <c r="T346" s="160">
        <v>0</v>
      </c>
      <c r="U346" s="160">
        <v>0</v>
      </c>
      <c r="V346" s="160">
        <v>0</v>
      </c>
      <c r="W346" s="160">
        <v>0</v>
      </c>
      <c r="X346" s="160">
        <v>0</v>
      </c>
      <c r="Y346" s="160">
        <v>200000</v>
      </c>
      <c r="Z346" s="160">
        <f t="shared" si="104"/>
        <v>158903.42000000001</v>
      </c>
      <c r="AA346" s="160">
        <v>0</v>
      </c>
      <c r="AB346" s="150">
        <v>2027</v>
      </c>
      <c r="AC346" s="150">
        <v>2027</v>
      </c>
      <c r="AD346" s="150">
        <v>2027</v>
      </c>
    </row>
    <row r="347" spans="1:30" x14ac:dyDescent="0.3">
      <c r="B347" s="141" t="s">
        <v>688</v>
      </c>
      <c r="C347" s="141"/>
      <c r="D347" s="171"/>
      <c r="E347" s="170">
        <f>E348</f>
        <v>13374774.17</v>
      </c>
      <c r="F347" s="160">
        <f t="shared" ref="F347:AA347" si="105">F348</f>
        <v>0</v>
      </c>
      <c r="G347" s="160">
        <f t="shared" si="105"/>
        <v>0</v>
      </c>
      <c r="H347" s="160">
        <f t="shared" si="105"/>
        <v>0</v>
      </c>
      <c r="I347" s="160">
        <f t="shared" si="105"/>
        <v>0</v>
      </c>
      <c r="J347" s="160">
        <f t="shared" si="105"/>
        <v>0</v>
      </c>
      <c r="K347" s="160">
        <f t="shared" si="105"/>
        <v>0</v>
      </c>
      <c r="L347" s="162">
        <f t="shared" si="105"/>
        <v>0</v>
      </c>
      <c r="M347" s="160">
        <f t="shared" si="105"/>
        <v>0</v>
      </c>
      <c r="N347" s="160">
        <f t="shared" si="105"/>
        <v>1090</v>
      </c>
      <c r="O347" s="160">
        <f t="shared" si="105"/>
        <v>12980073.07</v>
      </c>
      <c r="P347" s="160">
        <f t="shared" si="105"/>
        <v>0</v>
      </c>
      <c r="Q347" s="160">
        <f t="shared" si="105"/>
        <v>0</v>
      </c>
      <c r="R347" s="160">
        <f t="shared" si="105"/>
        <v>0</v>
      </c>
      <c r="S347" s="160">
        <f t="shared" si="105"/>
        <v>0</v>
      </c>
      <c r="T347" s="160">
        <f t="shared" si="105"/>
        <v>0</v>
      </c>
      <c r="U347" s="160">
        <f t="shared" si="105"/>
        <v>0</v>
      </c>
      <c r="V347" s="160">
        <f t="shared" si="105"/>
        <v>0</v>
      </c>
      <c r="W347" s="160">
        <f t="shared" si="105"/>
        <v>0</v>
      </c>
      <c r="X347" s="160">
        <f t="shared" si="105"/>
        <v>0</v>
      </c>
      <c r="Y347" s="160">
        <f t="shared" si="105"/>
        <v>200000</v>
      </c>
      <c r="Z347" s="160">
        <f t="shared" si="105"/>
        <v>194701.1</v>
      </c>
      <c r="AA347" s="160">
        <f t="shared" si="105"/>
        <v>0</v>
      </c>
      <c r="AB347" s="146" t="s">
        <v>422</v>
      </c>
      <c r="AC347" s="146" t="s">
        <v>422</v>
      </c>
      <c r="AD347" s="146" t="s">
        <v>422</v>
      </c>
    </row>
    <row r="348" spans="1:30" x14ac:dyDescent="0.3">
      <c r="A348" s="121">
        <v>1</v>
      </c>
      <c r="B348" s="148">
        <f>SUBTOTAL(9,$A$201:A348)</f>
        <v>128</v>
      </c>
      <c r="C348" s="154" t="s">
        <v>224</v>
      </c>
      <c r="D348" s="163" t="s">
        <v>619</v>
      </c>
      <c r="E348" s="153">
        <f>F348+G348+H348+I348+J348+K348+M348+O348+Q348+S348+U348+V348+W348+X348+Y348+Z348+AA348</f>
        <v>13374774.17</v>
      </c>
      <c r="F348" s="160">
        <v>0</v>
      </c>
      <c r="G348" s="160">
        <v>0</v>
      </c>
      <c r="H348" s="160">
        <v>0</v>
      </c>
      <c r="I348" s="160">
        <v>0</v>
      </c>
      <c r="J348" s="160">
        <v>0</v>
      </c>
      <c r="K348" s="160">
        <v>0</v>
      </c>
      <c r="L348" s="162">
        <v>0</v>
      </c>
      <c r="M348" s="160">
        <v>0</v>
      </c>
      <c r="N348" s="182">
        <v>1090</v>
      </c>
      <c r="O348" s="182">
        <v>12980073.07</v>
      </c>
      <c r="P348" s="160">
        <v>0</v>
      </c>
      <c r="Q348" s="160">
        <v>0</v>
      </c>
      <c r="R348" s="160">
        <v>0</v>
      </c>
      <c r="S348" s="160">
        <v>0</v>
      </c>
      <c r="T348" s="160">
        <v>0</v>
      </c>
      <c r="U348" s="160">
        <v>0</v>
      </c>
      <c r="V348" s="160">
        <v>0</v>
      </c>
      <c r="W348" s="160">
        <v>0</v>
      </c>
      <c r="X348" s="160">
        <v>0</v>
      </c>
      <c r="Y348" s="182">
        <v>200000</v>
      </c>
      <c r="Z348" s="182">
        <f>ROUND(O348*1.5%,2)</f>
        <v>194701.1</v>
      </c>
      <c r="AA348" s="160">
        <v>0</v>
      </c>
      <c r="AB348" s="150">
        <v>2027</v>
      </c>
      <c r="AC348" s="150">
        <v>2027</v>
      </c>
      <c r="AD348" s="150">
        <v>2027</v>
      </c>
    </row>
    <row r="349" spans="1:30" x14ac:dyDescent="0.3">
      <c r="B349" s="141" t="s">
        <v>241</v>
      </c>
      <c r="C349" s="141"/>
      <c r="D349" s="171"/>
      <c r="E349" s="170">
        <f>SUM(E350:E353)</f>
        <v>50950786.43</v>
      </c>
      <c r="F349" s="160">
        <f t="shared" ref="F349:AA349" si="106">SUM(F350:F353)</f>
        <v>0</v>
      </c>
      <c r="G349" s="160">
        <f t="shared" si="106"/>
        <v>0</v>
      </c>
      <c r="H349" s="160">
        <f t="shared" si="106"/>
        <v>0</v>
      </c>
      <c r="I349" s="160">
        <f t="shared" si="106"/>
        <v>0</v>
      </c>
      <c r="J349" s="160">
        <f t="shared" si="106"/>
        <v>0</v>
      </c>
      <c r="K349" s="160">
        <f t="shared" si="106"/>
        <v>0</v>
      </c>
      <c r="L349" s="162">
        <f t="shared" si="106"/>
        <v>0</v>
      </c>
      <c r="M349" s="160">
        <f t="shared" si="106"/>
        <v>0</v>
      </c>
      <c r="N349" s="160">
        <f t="shared" si="106"/>
        <v>3534.2200000000003</v>
      </c>
      <c r="O349" s="160">
        <f t="shared" si="106"/>
        <v>43757772.019999996</v>
      </c>
      <c r="P349" s="160">
        <f t="shared" si="106"/>
        <v>0</v>
      </c>
      <c r="Q349" s="160">
        <f t="shared" si="106"/>
        <v>0</v>
      </c>
      <c r="R349" s="160">
        <f t="shared" si="106"/>
        <v>508.56</v>
      </c>
      <c r="S349" s="160">
        <f t="shared" si="106"/>
        <v>5553347.6200000001</v>
      </c>
      <c r="T349" s="160">
        <f t="shared" si="106"/>
        <v>0</v>
      </c>
      <c r="U349" s="160">
        <f t="shared" si="106"/>
        <v>0</v>
      </c>
      <c r="V349" s="160">
        <f t="shared" si="106"/>
        <v>0</v>
      </c>
      <c r="W349" s="160">
        <f t="shared" si="106"/>
        <v>0</v>
      </c>
      <c r="X349" s="160">
        <f t="shared" si="106"/>
        <v>0</v>
      </c>
      <c r="Y349" s="160">
        <f t="shared" si="106"/>
        <v>900000</v>
      </c>
      <c r="Z349" s="160">
        <f t="shared" si="106"/>
        <v>739666.78999999992</v>
      </c>
      <c r="AA349" s="160">
        <f t="shared" si="106"/>
        <v>0</v>
      </c>
      <c r="AB349" s="146" t="s">
        <v>422</v>
      </c>
      <c r="AC349" s="146" t="s">
        <v>422</v>
      </c>
      <c r="AD349" s="146" t="s">
        <v>422</v>
      </c>
    </row>
    <row r="350" spans="1:30" x14ac:dyDescent="0.3">
      <c r="A350" s="121">
        <v>1</v>
      </c>
      <c r="B350" s="148">
        <f>SUBTOTAL(9,$A$201:A350)</f>
        <v>129</v>
      </c>
      <c r="C350" s="154" t="s">
        <v>232</v>
      </c>
      <c r="D350" s="163" t="s">
        <v>620</v>
      </c>
      <c r="E350" s="144">
        <f t="shared" ref="E350:E353" si="107">F350+G350+H350+I350+J350+K350+M350+O350+Q350+S350+U350+V350+W350+X350+Z350+AA350+Y350</f>
        <v>20716171</v>
      </c>
      <c r="F350" s="160">
        <v>0</v>
      </c>
      <c r="G350" s="160">
        <v>0</v>
      </c>
      <c r="H350" s="160">
        <v>0</v>
      </c>
      <c r="I350" s="160">
        <v>0</v>
      </c>
      <c r="J350" s="160">
        <v>0</v>
      </c>
      <c r="K350" s="160">
        <v>0</v>
      </c>
      <c r="L350" s="162">
        <v>0</v>
      </c>
      <c r="M350" s="160">
        <v>0</v>
      </c>
      <c r="N350" s="182">
        <v>1631.9</v>
      </c>
      <c r="O350" s="153">
        <v>20163715.27</v>
      </c>
      <c r="P350" s="160">
        <v>0</v>
      </c>
      <c r="Q350" s="160">
        <v>0</v>
      </c>
      <c r="R350" s="160">
        <v>0</v>
      </c>
      <c r="S350" s="160">
        <v>0</v>
      </c>
      <c r="T350" s="160">
        <v>0</v>
      </c>
      <c r="U350" s="160">
        <v>0</v>
      </c>
      <c r="V350" s="160">
        <v>0</v>
      </c>
      <c r="W350" s="160">
        <v>0</v>
      </c>
      <c r="X350" s="160">
        <v>0</v>
      </c>
      <c r="Y350" s="160">
        <v>250000</v>
      </c>
      <c r="Z350" s="160">
        <f t="shared" ref="Z350:Z352" si="108">ROUND(O350*1.5%,2)</f>
        <v>302455.73</v>
      </c>
      <c r="AA350" s="160">
        <v>0</v>
      </c>
      <c r="AB350" s="150">
        <v>2027</v>
      </c>
      <c r="AC350" s="150">
        <v>2027</v>
      </c>
      <c r="AD350" s="150">
        <v>2027</v>
      </c>
    </row>
    <row r="351" spans="1:30" x14ac:dyDescent="0.3">
      <c r="A351" s="121">
        <v>1</v>
      </c>
      <c r="B351" s="148">
        <f>SUBTOTAL(9,$A$201:A351)</f>
        <v>130</v>
      </c>
      <c r="C351" s="154" t="s">
        <v>233</v>
      </c>
      <c r="D351" s="163" t="s">
        <v>620</v>
      </c>
      <c r="E351" s="144">
        <f t="shared" si="107"/>
        <v>10917278.6</v>
      </c>
      <c r="F351" s="160">
        <v>0</v>
      </c>
      <c r="G351" s="160">
        <v>0</v>
      </c>
      <c r="H351" s="160">
        <v>0</v>
      </c>
      <c r="I351" s="160">
        <v>0</v>
      </c>
      <c r="J351" s="160">
        <v>0</v>
      </c>
      <c r="K351" s="160">
        <v>0</v>
      </c>
      <c r="L351" s="162">
        <v>0</v>
      </c>
      <c r="M351" s="160">
        <v>0</v>
      </c>
      <c r="N351" s="182">
        <v>860</v>
      </c>
      <c r="O351" s="153">
        <v>10558895.17</v>
      </c>
      <c r="P351" s="160">
        <v>0</v>
      </c>
      <c r="Q351" s="160">
        <v>0</v>
      </c>
      <c r="R351" s="160">
        <v>0</v>
      </c>
      <c r="S351" s="160">
        <v>0</v>
      </c>
      <c r="T351" s="160">
        <v>0</v>
      </c>
      <c r="U351" s="160">
        <v>0</v>
      </c>
      <c r="V351" s="160">
        <v>0</v>
      </c>
      <c r="W351" s="160">
        <v>0</v>
      </c>
      <c r="X351" s="160">
        <v>0</v>
      </c>
      <c r="Y351" s="160">
        <v>200000</v>
      </c>
      <c r="Z351" s="160">
        <f t="shared" si="108"/>
        <v>158383.43</v>
      </c>
      <c r="AA351" s="160">
        <v>0</v>
      </c>
      <c r="AB351" s="150">
        <v>2027</v>
      </c>
      <c r="AC351" s="150">
        <v>2027</v>
      </c>
      <c r="AD351" s="150">
        <v>2027</v>
      </c>
    </row>
    <row r="352" spans="1:30" x14ac:dyDescent="0.3">
      <c r="A352" s="121">
        <v>1</v>
      </c>
      <c r="B352" s="148">
        <f>SUBTOTAL(9,$A$201:A352)</f>
        <v>131</v>
      </c>
      <c r="C352" s="154" t="s">
        <v>234</v>
      </c>
      <c r="D352" s="163" t="s">
        <v>620</v>
      </c>
      <c r="E352" s="144">
        <f t="shared" si="107"/>
        <v>13480689</v>
      </c>
      <c r="F352" s="160">
        <v>0</v>
      </c>
      <c r="G352" s="160">
        <v>0</v>
      </c>
      <c r="H352" s="160">
        <v>0</v>
      </c>
      <c r="I352" s="160">
        <v>0</v>
      </c>
      <c r="J352" s="160">
        <v>0</v>
      </c>
      <c r="K352" s="160">
        <v>0</v>
      </c>
      <c r="L352" s="162">
        <v>0</v>
      </c>
      <c r="M352" s="160">
        <v>0</v>
      </c>
      <c r="N352" s="182">
        <v>1042.32</v>
      </c>
      <c r="O352" s="153">
        <v>13035161.58</v>
      </c>
      <c r="P352" s="160">
        <v>0</v>
      </c>
      <c r="Q352" s="160">
        <v>0</v>
      </c>
      <c r="R352" s="160">
        <v>0</v>
      </c>
      <c r="S352" s="160">
        <v>0</v>
      </c>
      <c r="T352" s="160">
        <v>0</v>
      </c>
      <c r="U352" s="160">
        <v>0</v>
      </c>
      <c r="V352" s="160">
        <v>0</v>
      </c>
      <c r="W352" s="160">
        <v>0</v>
      </c>
      <c r="X352" s="160">
        <v>0</v>
      </c>
      <c r="Y352" s="160">
        <v>250000</v>
      </c>
      <c r="Z352" s="160">
        <f t="shared" si="108"/>
        <v>195527.42</v>
      </c>
      <c r="AA352" s="160">
        <v>0</v>
      </c>
      <c r="AB352" s="150">
        <v>2027</v>
      </c>
      <c r="AC352" s="150">
        <v>2027</v>
      </c>
      <c r="AD352" s="150">
        <v>2027</v>
      </c>
    </row>
    <row r="353" spans="1:30" x14ac:dyDescent="0.3">
      <c r="A353" s="121">
        <v>1</v>
      </c>
      <c r="B353" s="148">
        <f>SUBTOTAL(9,$A$201:A353)</f>
        <v>132</v>
      </c>
      <c r="C353" s="154" t="s">
        <v>235</v>
      </c>
      <c r="D353" s="163" t="s">
        <v>620</v>
      </c>
      <c r="E353" s="144">
        <f t="shared" si="107"/>
        <v>5836647.8300000001</v>
      </c>
      <c r="F353" s="160">
        <v>0</v>
      </c>
      <c r="G353" s="160">
        <v>0</v>
      </c>
      <c r="H353" s="160">
        <v>0</v>
      </c>
      <c r="I353" s="160">
        <v>0</v>
      </c>
      <c r="J353" s="160">
        <v>0</v>
      </c>
      <c r="K353" s="160">
        <v>0</v>
      </c>
      <c r="L353" s="162">
        <v>0</v>
      </c>
      <c r="M353" s="160">
        <v>0</v>
      </c>
      <c r="N353" s="182">
        <v>0</v>
      </c>
      <c r="O353" s="153">
        <v>0</v>
      </c>
      <c r="P353" s="160">
        <v>0</v>
      </c>
      <c r="Q353" s="160">
        <v>0</v>
      </c>
      <c r="R353" s="182">
        <v>508.56</v>
      </c>
      <c r="S353" s="153">
        <v>5553347.6200000001</v>
      </c>
      <c r="T353" s="160">
        <v>0</v>
      </c>
      <c r="U353" s="160">
        <v>0</v>
      </c>
      <c r="V353" s="160">
        <v>0</v>
      </c>
      <c r="W353" s="160">
        <v>0</v>
      </c>
      <c r="X353" s="160">
        <v>0</v>
      </c>
      <c r="Y353" s="160">
        <v>200000</v>
      </c>
      <c r="Z353" s="160">
        <f>ROUND(S353*1.5%,2)</f>
        <v>83300.210000000006</v>
      </c>
      <c r="AA353" s="160">
        <v>0</v>
      </c>
      <c r="AB353" s="150">
        <v>2027</v>
      </c>
      <c r="AC353" s="150">
        <v>2027</v>
      </c>
      <c r="AD353" s="150">
        <v>2027</v>
      </c>
    </row>
    <row r="354" spans="1:30" x14ac:dyDescent="0.3">
      <c r="B354" s="141" t="s">
        <v>668</v>
      </c>
      <c r="C354" s="141"/>
      <c r="D354" s="171"/>
      <c r="E354" s="170">
        <f>E355+E357+E356+E358+E359</f>
        <v>37463657.939999998</v>
      </c>
      <c r="F354" s="170">
        <f t="shared" ref="F354:AA354" si="109">F355+F357+F356+F358+F359</f>
        <v>0</v>
      </c>
      <c r="G354" s="170">
        <f t="shared" si="109"/>
        <v>0</v>
      </c>
      <c r="H354" s="170">
        <f t="shared" si="109"/>
        <v>0</v>
      </c>
      <c r="I354" s="170">
        <f t="shared" si="109"/>
        <v>0</v>
      </c>
      <c r="J354" s="170">
        <f t="shared" si="109"/>
        <v>0</v>
      </c>
      <c r="K354" s="170">
        <f t="shared" si="109"/>
        <v>0</v>
      </c>
      <c r="L354" s="162">
        <f t="shared" si="109"/>
        <v>0</v>
      </c>
      <c r="M354" s="170">
        <f t="shared" si="109"/>
        <v>0</v>
      </c>
      <c r="N354" s="170">
        <f t="shared" si="109"/>
        <v>2569.29</v>
      </c>
      <c r="O354" s="170">
        <f t="shared" si="109"/>
        <v>34191194.189999998</v>
      </c>
      <c r="P354" s="170">
        <f t="shared" si="109"/>
        <v>0</v>
      </c>
      <c r="Q354" s="170">
        <f t="shared" si="109"/>
        <v>0</v>
      </c>
      <c r="R354" s="170">
        <f t="shared" si="109"/>
        <v>0</v>
      </c>
      <c r="S354" s="170">
        <f t="shared" si="109"/>
        <v>0</v>
      </c>
      <c r="T354" s="170">
        <f t="shared" si="109"/>
        <v>0</v>
      </c>
      <c r="U354" s="170">
        <f t="shared" si="109"/>
        <v>0</v>
      </c>
      <c r="V354" s="170">
        <f t="shared" si="109"/>
        <v>0</v>
      </c>
      <c r="W354" s="170">
        <f t="shared" si="109"/>
        <v>0</v>
      </c>
      <c r="X354" s="170">
        <f t="shared" si="109"/>
        <v>1832114.13</v>
      </c>
      <c r="Y354" s="170">
        <f t="shared" si="109"/>
        <v>900000</v>
      </c>
      <c r="Z354" s="170">
        <f t="shared" si="109"/>
        <v>540349.62</v>
      </c>
      <c r="AA354" s="170">
        <f t="shared" si="109"/>
        <v>0</v>
      </c>
      <c r="AB354" s="146" t="s">
        <v>422</v>
      </c>
      <c r="AC354" s="146" t="s">
        <v>422</v>
      </c>
      <c r="AD354" s="146" t="s">
        <v>422</v>
      </c>
    </row>
    <row r="355" spans="1:30" x14ac:dyDescent="0.3">
      <c r="A355" s="121">
        <v>1</v>
      </c>
      <c r="B355" s="148">
        <f>SUBTOTAL(9,$A$201:A355)</f>
        <v>133</v>
      </c>
      <c r="C355" s="154" t="s">
        <v>246</v>
      </c>
      <c r="D355" s="163" t="s">
        <v>621</v>
      </c>
      <c r="E355" s="144">
        <f>F355+G355+H355+I355+J355+K355+M355+O355+Q355+S355+U355+V355+W355+X355+Z355+AA355+Y355</f>
        <v>14582056.690000001</v>
      </c>
      <c r="F355" s="160">
        <v>0</v>
      </c>
      <c r="G355" s="160">
        <v>0</v>
      </c>
      <c r="H355" s="160">
        <v>0</v>
      </c>
      <c r="I355" s="160">
        <v>0</v>
      </c>
      <c r="J355" s="160">
        <v>0</v>
      </c>
      <c r="K355" s="160">
        <v>0</v>
      </c>
      <c r="L355" s="162">
        <v>0</v>
      </c>
      <c r="M355" s="160">
        <v>0</v>
      </c>
      <c r="N355" s="153">
        <v>1148.69</v>
      </c>
      <c r="O355" s="153">
        <v>14169513.98</v>
      </c>
      <c r="P355" s="160">
        <v>0</v>
      </c>
      <c r="Q355" s="160">
        <v>0</v>
      </c>
      <c r="R355" s="160">
        <v>0</v>
      </c>
      <c r="S355" s="160">
        <v>0</v>
      </c>
      <c r="T355" s="160">
        <v>0</v>
      </c>
      <c r="U355" s="160">
        <v>0</v>
      </c>
      <c r="V355" s="160">
        <v>0</v>
      </c>
      <c r="W355" s="160">
        <v>0</v>
      </c>
      <c r="X355" s="160">
        <v>0</v>
      </c>
      <c r="Y355" s="160">
        <v>200000</v>
      </c>
      <c r="Z355" s="160">
        <f>ROUND(O355*1.5%,2)</f>
        <v>212542.71</v>
      </c>
      <c r="AA355" s="160">
        <v>0</v>
      </c>
      <c r="AB355" s="150">
        <v>2027</v>
      </c>
      <c r="AC355" s="150">
        <v>2027</v>
      </c>
      <c r="AD355" s="150">
        <v>2027</v>
      </c>
    </row>
    <row r="356" spans="1:30" x14ac:dyDescent="0.3">
      <c r="A356" s="121">
        <v>1</v>
      </c>
      <c r="B356" s="148">
        <f>SUBTOTAL(9,$A$201:A356)</f>
        <v>134</v>
      </c>
      <c r="C356" s="154" t="s">
        <v>247</v>
      </c>
      <c r="D356" s="163" t="s">
        <v>621</v>
      </c>
      <c r="E356" s="144">
        <f>F356+G356+H356+I356+J356+K356+M356+O356+Q356+S356+U356+V356+W356+X356+Z356+AA356+Y356</f>
        <v>2009595.8399999999</v>
      </c>
      <c r="F356" s="160">
        <v>0</v>
      </c>
      <c r="G356" s="160">
        <v>0</v>
      </c>
      <c r="H356" s="160">
        <v>0</v>
      </c>
      <c r="I356" s="160">
        <v>0</v>
      </c>
      <c r="J356" s="160">
        <v>0</v>
      </c>
      <c r="K356" s="160">
        <v>0</v>
      </c>
      <c r="L356" s="162">
        <v>0</v>
      </c>
      <c r="M356" s="160">
        <v>0</v>
      </c>
      <c r="N356" s="144">
        <v>0</v>
      </c>
      <c r="O356" s="153">
        <v>0</v>
      </c>
      <c r="P356" s="160">
        <v>0</v>
      </c>
      <c r="Q356" s="160">
        <v>0</v>
      </c>
      <c r="R356" s="160">
        <v>0</v>
      </c>
      <c r="S356" s="160">
        <v>0</v>
      </c>
      <c r="T356" s="160">
        <v>0</v>
      </c>
      <c r="U356" s="160">
        <v>0</v>
      </c>
      <c r="V356" s="160">
        <v>0</v>
      </c>
      <c r="W356" s="160">
        <v>0</v>
      </c>
      <c r="X356" s="153">
        <v>1832114.13</v>
      </c>
      <c r="Y356" s="160">
        <v>150000</v>
      </c>
      <c r="Z356" s="160">
        <f>ROUND(X356*1.5%,2)</f>
        <v>27481.71</v>
      </c>
      <c r="AA356" s="160">
        <v>0</v>
      </c>
      <c r="AB356" s="150">
        <v>2027</v>
      </c>
      <c r="AC356" s="150">
        <v>2027</v>
      </c>
      <c r="AD356" s="150">
        <v>2027</v>
      </c>
    </row>
    <row r="357" spans="1:30" x14ac:dyDescent="0.3">
      <c r="A357" s="121">
        <v>1</v>
      </c>
      <c r="B357" s="148">
        <f>SUBTOTAL(9,$A$201:A357)</f>
        <v>135</v>
      </c>
      <c r="C357" s="154" t="s">
        <v>248</v>
      </c>
      <c r="D357" s="163" t="s">
        <v>621</v>
      </c>
      <c r="E357" s="144">
        <f t="shared" ref="E357:E359" si="110">F357+G357+H357+I357+J357+K357+M357+O357+Q357+S357+U357+V357+W357+X357+Z357+AA357+Y357</f>
        <v>5530096.8799999999</v>
      </c>
      <c r="F357" s="160">
        <v>0</v>
      </c>
      <c r="G357" s="160">
        <v>0</v>
      </c>
      <c r="H357" s="160">
        <v>0</v>
      </c>
      <c r="I357" s="160">
        <v>0</v>
      </c>
      <c r="J357" s="160">
        <v>0</v>
      </c>
      <c r="K357" s="160">
        <v>0</v>
      </c>
      <c r="L357" s="162">
        <v>0</v>
      </c>
      <c r="M357" s="160">
        <v>0</v>
      </c>
      <c r="N357" s="153">
        <v>308</v>
      </c>
      <c r="O357" s="153">
        <v>5300588.0599999996</v>
      </c>
      <c r="P357" s="160">
        <v>0</v>
      </c>
      <c r="Q357" s="160">
        <v>0</v>
      </c>
      <c r="R357" s="160">
        <v>0</v>
      </c>
      <c r="S357" s="160">
        <v>0</v>
      </c>
      <c r="T357" s="160">
        <v>0</v>
      </c>
      <c r="U357" s="160">
        <v>0</v>
      </c>
      <c r="V357" s="160">
        <v>0</v>
      </c>
      <c r="W357" s="160">
        <v>0</v>
      </c>
      <c r="X357" s="160">
        <v>0</v>
      </c>
      <c r="Y357" s="160">
        <v>150000</v>
      </c>
      <c r="Z357" s="160">
        <f t="shared" ref="Z357:Z358" si="111">ROUND(O357*1.5%,2)</f>
        <v>79508.820000000007</v>
      </c>
      <c r="AA357" s="160">
        <v>0</v>
      </c>
      <c r="AB357" s="150">
        <v>2027</v>
      </c>
      <c r="AC357" s="150">
        <v>2027</v>
      </c>
      <c r="AD357" s="150">
        <v>2027</v>
      </c>
    </row>
    <row r="358" spans="1:30" x14ac:dyDescent="0.3">
      <c r="A358" s="121">
        <v>1</v>
      </c>
      <c r="B358" s="148">
        <f>SUBTOTAL(9,$A$201:A358)</f>
        <v>136</v>
      </c>
      <c r="C358" s="154" t="s">
        <v>249</v>
      </c>
      <c r="D358" s="163" t="s">
        <v>621</v>
      </c>
      <c r="E358" s="144">
        <f t="shared" si="110"/>
        <v>8919162.7299999986</v>
      </c>
      <c r="F358" s="160">
        <v>0</v>
      </c>
      <c r="G358" s="160">
        <v>0</v>
      </c>
      <c r="H358" s="160">
        <v>0</v>
      </c>
      <c r="I358" s="160">
        <v>0</v>
      </c>
      <c r="J358" s="160">
        <v>0</v>
      </c>
      <c r="K358" s="160">
        <v>0</v>
      </c>
      <c r="L358" s="162">
        <v>0</v>
      </c>
      <c r="M358" s="160">
        <v>0</v>
      </c>
      <c r="N358" s="153">
        <v>702.6</v>
      </c>
      <c r="O358" s="153">
        <v>8590308.1099999994</v>
      </c>
      <c r="P358" s="160">
        <v>0</v>
      </c>
      <c r="Q358" s="160">
        <v>0</v>
      </c>
      <c r="R358" s="160">
        <v>0</v>
      </c>
      <c r="S358" s="160">
        <v>0</v>
      </c>
      <c r="T358" s="160">
        <v>0</v>
      </c>
      <c r="U358" s="160">
        <v>0</v>
      </c>
      <c r="V358" s="160">
        <v>0</v>
      </c>
      <c r="W358" s="160">
        <v>0</v>
      </c>
      <c r="X358" s="160">
        <v>0</v>
      </c>
      <c r="Y358" s="160">
        <v>200000</v>
      </c>
      <c r="Z358" s="160">
        <f t="shared" si="111"/>
        <v>128854.62</v>
      </c>
      <c r="AA358" s="160">
        <v>0</v>
      </c>
      <c r="AB358" s="150">
        <v>2027</v>
      </c>
      <c r="AC358" s="150">
        <v>2027</v>
      </c>
      <c r="AD358" s="150">
        <v>2027</v>
      </c>
    </row>
    <row r="359" spans="1:30" x14ac:dyDescent="0.3">
      <c r="A359" s="121">
        <v>1</v>
      </c>
      <c r="B359" s="148">
        <f>SUBTOTAL(9,$A$201:A359)</f>
        <v>137</v>
      </c>
      <c r="C359" s="154" t="s">
        <v>748</v>
      </c>
      <c r="D359" s="163"/>
      <c r="E359" s="144">
        <f t="shared" si="110"/>
        <v>6422745.7999999998</v>
      </c>
      <c r="F359" s="160">
        <v>0</v>
      </c>
      <c r="G359" s="160">
        <v>0</v>
      </c>
      <c r="H359" s="160">
        <v>0</v>
      </c>
      <c r="I359" s="160">
        <v>0</v>
      </c>
      <c r="J359" s="160">
        <v>0</v>
      </c>
      <c r="K359" s="160">
        <v>0</v>
      </c>
      <c r="L359" s="162">
        <v>0</v>
      </c>
      <c r="M359" s="160">
        <v>0</v>
      </c>
      <c r="N359" s="153">
        <v>410</v>
      </c>
      <c r="O359" s="153">
        <v>6130784.04</v>
      </c>
      <c r="P359" s="160">
        <v>0</v>
      </c>
      <c r="Q359" s="160">
        <v>0</v>
      </c>
      <c r="R359" s="160">
        <v>0</v>
      </c>
      <c r="S359" s="160">
        <v>0</v>
      </c>
      <c r="T359" s="160">
        <v>0</v>
      </c>
      <c r="U359" s="160">
        <v>0</v>
      </c>
      <c r="V359" s="160">
        <v>0</v>
      </c>
      <c r="W359" s="160">
        <v>0</v>
      </c>
      <c r="X359" s="160">
        <v>0</v>
      </c>
      <c r="Y359" s="160">
        <v>200000</v>
      </c>
      <c r="Z359" s="160">
        <f>ROUND(O359*1.5%,2)</f>
        <v>91961.76</v>
      </c>
      <c r="AA359" s="160">
        <v>0</v>
      </c>
      <c r="AB359" s="150">
        <v>2027</v>
      </c>
      <c r="AC359" s="150">
        <v>2027</v>
      </c>
      <c r="AD359" s="150">
        <v>2027</v>
      </c>
    </row>
    <row r="360" spans="1:30" x14ac:dyDescent="0.3">
      <c r="B360" s="141" t="s">
        <v>264</v>
      </c>
      <c r="C360" s="141"/>
      <c r="D360" s="171"/>
      <c r="E360" s="170">
        <f>E361+E362</f>
        <v>21513820</v>
      </c>
      <c r="F360" s="160">
        <f t="shared" ref="F360:AA360" si="112">F361+F362</f>
        <v>0</v>
      </c>
      <c r="G360" s="160">
        <f t="shared" si="112"/>
        <v>0</v>
      </c>
      <c r="H360" s="160">
        <f t="shared" si="112"/>
        <v>0</v>
      </c>
      <c r="I360" s="160">
        <f t="shared" si="112"/>
        <v>0</v>
      </c>
      <c r="J360" s="160">
        <f t="shared" si="112"/>
        <v>0</v>
      </c>
      <c r="K360" s="160">
        <f t="shared" si="112"/>
        <v>0</v>
      </c>
      <c r="L360" s="162">
        <f t="shared" si="112"/>
        <v>0</v>
      </c>
      <c r="M360" s="160">
        <f t="shared" si="112"/>
        <v>0</v>
      </c>
      <c r="N360" s="160">
        <f t="shared" si="112"/>
        <v>2196</v>
      </c>
      <c r="O360" s="160">
        <f t="shared" si="112"/>
        <v>21195881.77</v>
      </c>
      <c r="P360" s="160">
        <f t="shared" si="112"/>
        <v>0</v>
      </c>
      <c r="Q360" s="160">
        <f t="shared" si="112"/>
        <v>0</v>
      </c>
      <c r="R360" s="160">
        <f t="shared" si="112"/>
        <v>0</v>
      </c>
      <c r="S360" s="160">
        <f t="shared" si="112"/>
        <v>0</v>
      </c>
      <c r="T360" s="160">
        <f t="shared" si="112"/>
        <v>0</v>
      </c>
      <c r="U360" s="160">
        <f t="shared" si="112"/>
        <v>0</v>
      </c>
      <c r="V360" s="160">
        <f t="shared" si="112"/>
        <v>0</v>
      </c>
      <c r="W360" s="160">
        <f t="shared" si="112"/>
        <v>0</v>
      </c>
      <c r="X360" s="160">
        <f t="shared" si="112"/>
        <v>0</v>
      </c>
      <c r="Y360" s="160">
        <f t="shared" si="112"/>
        <v>0</v>
      </c>
      <c r="Z360" s="160">
        <f t="shared" si="112"/>
        <v>317938.23</v>
      </c>
      <c r="AA360" s="160">
        <f t="shared" si="112"/>
        <v>0</v>
      </c>
      <c r="AB360" s="146" t="s">
        <v>422</v>
      </c>
      <c r="AC360" s="146" t="s">
        <v>422</v>
      </c>
      <c r="AD360" s="146" t="s">
        <v>422</v>
      </c>
    </row>
    <row r="361" spans="1:30" x14ac:dyDescent="0.3">
      <c r="A361" s="121">
        <v>1</v>
      </c>
      <c r="B361" s="148">
        <f>SUBTOTAL(9,$A$201:A361)</f>
        <v>138</v>
      </c>
      <c r="C361" s="154" t="s">
        <v>257</v>
      </c>
      <c r="D361" s="163" t="s">
        <v>622</v>
      </c>
      <c r="E361" s="144">
        <f t="shared" ref="E361:E364" si="113">F361+G361+H361+I361+J361+K361+M361+O361+Q361+S361+U361+V361+W361+X361+Z361+AA361+Y361</f>
        <v>10000000</v>
      </c>
      <c r="F361" s="160">
        <v>0</v>
      </c>
      <c r="G361" s="160">
        <v>0</v>
      </c>
      <c r="H361" s="160">
        <v>0</v>
      </c>
      <c r="I361" s="160">
        <v>0</v>
      </c>
      <c r="J361" s="160">
        <v>0</v>
      </c>
      <c r="K361" s="160">
        <v>0</v>
      </c>
      <c r="L361" s="162">
        <v>0</v>
      </c>
      <c r="M361" s="160">
        <v>0</v>
      </c>
      <c r="N361" s="153">
        <v>1188</v>
      </c>
      <c r="O361" s="153">
        <v>9852216.75</v>
      </c>
      <c r="P361" s="160">
        <v>0</v>
      </c>
      <c r="Q361" s="160">
        <v>0</v>
      </c>
      <c r="R361" s="160">
        <v>0</v>
      </c>
      <c r="S361" s="160">
        <v>0</v>
      </c>
      <c r="T361" s="160">
        <v>0</v>
      </c>
      <c r="U361" s="160">
        <v>0</v>
      </c>
      <c r="V361" s="160">
        <v>0</v>
      </c>
      <c r="W361" s="160">
        <v>0</v>
      </c>
      <c r="X361" s="160">
        <v>0</v>
      </c>
      <c r="Y361" s="160">
        <v>0</v>
      </c>
      <c r="Z361" s="160">
        <f t="shared" ref="Z361:Z362" si="114">ROUND(O361*1.5%,2)</f>
        <v>147783.25</v>
      </c>
      <c r="AA361" s="160">
        <v>0</v>
      </c>
      <c r="AB361" s="146" t="s">
        <v>425</v>
      </c>
      <c r="AC361" s="150">
        <v>2027</v>
      </c>
      <c r="AD361" s="150">
        <v>2027</v>
      </c>
    </row>
    <row r="362" spans="1:30" x14ac:dyDescent="0.3">
      <c r="A362" s="121">
        <v>1</v>
      </c>
      <c r="B362" s="148">
        <f>SUBTOTAL(9,$A$201:A362)</f>
        <v>139</v>
      </c>
      <c r="C362" s="154" t="s">
        <v>258</v>
      </c>
      <c r="D362" s="163" t="s">
        <v>622</v>
      </c>
      <c r="E362" s="144">
        <f t="shared" si="113"/>
        <v>11513820</v>
      </c>
      <c r="F362" s="160">
        <v>0</v>
      </c>
      <c r="G362" s="160">
        <v>0</v>
      </c>
      <c r="H362" s="160">
        <v>0</v>
      </c>
      <c r="I362" s="160">
        <v>0</v>
      </c>
      <c r="J362" s="160">
        <v>0</v>
      </c>
      <c r="K362" s="160">
        <v>0</v>
      </c>
      <c r="L362" s="162">
        <v>0</v>
      </c>
      <c r="M362" s="160">
        <v>0</v>
      </c>
      <c r="N362" s="153">
        <v>1008</v>
      </c>
      <c r="O362" s="153">
        <v>11343665.02</v>
      </c>
      <c r="P362" s="160">
        <v>0</v>
      </c>
      <c r="Q362" s="160">
        <v>0</v>
      </c>
      <c r="R362" s="160">
        <v>0</v>
      </c>
      <c r="S362" s="160">
        <v>0</v>
      </c>
      <c r="T362" s="160">
        <v>0</v>
      </c>
      <c r="U362" s="160">
        <v>0</v>
      </c>
      <c r="V362" s="160">
        <v>0</v>
      </c>
      <c r="W362" s="160">
        <v>0</v>
      </c>
      <c r="X362" s="160">
        <v>0</v>
      </c>
      <c r="Y362" s="160">
        <v>0</v>
      </c>
      <c r="Z362" s="160">
        <f t="shared" si="114"/>
        <v>170154.98</v>
      </c>
      <c r="AA362" s="160">
        <v>0</v>
      </c>
      <c r="AB362" s="146" t="s">
        <v>425</v>
      </c>
      <c r="AC362" s="150">
        <v>2027</v>
      </c>
      <c r="AD362" s="150">
        <v>2027</v>
      </c>
    </row>
    <row r="363" spans="1:30" x14ac:dyDescent="0.3">
      <c r="B363" s="141" t="s">
        <v>266</v>
      </c>
      <c r="C363" s="141"/>
      <c r="D363" s="171"/>
      <c r="E363" s="170">
        <f>E364</f>
        <v>4110876.9499999997</v>
      </c>
      <c r="F363" s="160">
        <f t="shared" ref="F363:AA363" si="115">F364</f>
        <v>0</v>
      </c>
      <c r="G363" s="160">
        <f t="shared" si="115"/>
        <v>0</v>
      </c>
      <c r="H363" s="160">
        <f t="shared" si="115"/>
        <v>0</v>
      </c>
      <c r="I363" s="160">
        <f t="shared" si="115"/>
        <v>0</v>
      </c>
      <c r="J363" s="160">
        <f t="shared" si="115"/>
        <v>0</v>
      </c>
      <c r="K363" s="160">
        <f t="shared" si="115"/>
        <v>0</v>
      </c>
      <c r="L363" s="162">
        <f t="shared" si="115"/>
        <v>0</v>
      </c>
      <c r="M363" s="160">
        <f t="shared" si="115"/>
        <v>0</v>
      </c>
      <c r="N363" s="160">
        <f t="shared" si="115"/>
        <v>0</v>
      </c>
      <c r="O363" s="160">
        <f t="shared" si="115"/>
        <v>0</v>
      </c>
      <c r="P363" s="160">
        <f t="shared" si="115"/>
        <v>0</v>
      </c>
      <c r="Q363" s="160">
        <f t="shared" si="115"/>
        <v>0</v>
      </c>
      <c r="R363" s="160">
        <f t="shared" si="115"/>
        <v>0</v>
      </c>
      <c r="S363" s="160">
        <f t="shared" si="115"/>
        <v>0</v>
      </c>
      <c r="T363" s="160">
        <f t="shared" si="115"/>
        <v>185</v>
      </c>
      <c r="U363" s="160">
        <f t="shared" si="115"/>
        <v>4050125.07</v>
      </c>
      <c r="V363" s="160">
        <f t="shared" si="115"/>
        <v>0</v>
      </c>
      <c r="W363" s="160">
        <f t="shared" si="115"/>
        <v>0</v>
      </c>
      <c r="X363" s="160">
        <f t="shared" si="115"/>
        <v>0</v>
      </c>
      <c r="Y363" s="160">
        <f t="shared" si="115"/>
        <v>0</v>
      </c>
      <c r="Z363" s="160">
        <f t="shared" si="115"/>
        <v>60751.88</v>
      </c>
      <c r="AA363" s="160">
        <f t="shared" si="115"/>
        <v>0</v>
      </c>
      <c r="AB363" s="146" t="s">
        <v>422</v>
      </c>
      <c r="AC363" s="146" t="s">
        <v>422</v>
      </c>
      <c r="AD363" s="146" t="s">
        <v>422</v>
      </c>
    </row>
    <row r="364" spans="1:30" x14ac:dyDescent="0.3">
      <c r="A364" s="121">
        <v>1</v>
      </c>
      <c r="B364" s="148">
        <f>SUBTOTAL(9,$A$201:A364)</f>
        <v>140</v>
      </c>
      <c r="C364" s="154" t="s">
        <v>784</v>
      </c>
      <c r="D364" s="163"/>
      <c r="E364" s="144">
        <f t="shared" si="113"/>
        <v>4110876.9499999997</v>
      </c>
      <c r="F364" s="160">
        <v>0</v>
      </c>
      <c r="G364" s="160">
        <v>0</v>
      </c>
      <c r="H364" s="160">
        <v>0</v>
      </c>
      <c r="I364" s="160">
        <v>0</v>
      </c>
      <c r="J364" s="160">
        <v>0</v>
      </c>
      <c r="K364" s="160">
        <v>0</v>
      </c>
      <c r="L364" s="162">
        <v>0</v>
      </c>
      <c r="M364" s="160">
        <v>0</v>
      </c>
      <c r="N364" s="153">
        <v>0</v>
      </c>
      <c r="O364" s="153">
        <v>0</v>
      </c>
      <c r="P364" s="160">
        <v>0</v>
      </c>
      <c r="Q364" s="160">
        <v>0</v>
      </c>
      <c r="R364" s="160">
        <v>0</v>
      </c>
      <c r="S364" s="160">
        <v>0</v>
      </c>
      <c r="T364" s="160">
        <v>185</v>
      </c>
      <c r="U364" s="160">
        <v>4050125.07</v>
      </c>
      <c r="V364" s="160">
        <v>0</v>
      </c>
      <c r="W364" s="160">
        <v>0</v>
      </c>
      <c r="X364" s="160">
        <v>0</v>
      </c>
      <c r="Y364" s="160">
        <v>0</v>
      </c>
      <c r="Z364" s="160">
        <f>ROUND(U364*1.5%,2)</f>
        <v>60751.88</v>
      </c>
      <c r="AA364" s="160">
        <v>0</v>
      </c>
      <c r="AB364" s="146" t="s">
        <v>425</v>
      </c>
      <c r="AC364" s="150">
        <v>2027</v>
      </c>
      <c r="AD364" s="150">
        <v>2027</v>
      </c>
    </row>
    <row r="365" spans="1:30" x14ac:dyDescent="0.3">
      <c r="B365" s="141" t="s">
        <v>693</v>
      </c>
      <c r="C365" s="141"/>
      <c r="D365" s="171"/>
      <c r="E365" s="170">
        <f>E366+E367</f>
        <v>25224362.119999997</v>
      </c>
      <c r="F365" s="170">
        <f t="shared" ref="F365:AA365" si="116">F366+F367</f>
        <v>0</v>
      </c>
      <c r="G365" s="170">
        <f t="shared" si="116"/>
        <v>0</v>
      </c>
      <c r="H365" s="170">
        <f t="shared" si="116"/>
        <v>4001413.36</v>
      </c>
      <c r="I365" s="170">
        <f t="shared" si="116"/>
        <v>0</v>
      </c>
      <c r="J365" s="170">
        <f t="shared" si="116"/>
        <v>0</v>
      </c>
      <c r="K365" s="170">
        <f t="shared" si="116"/>
        <v>0</v>
      </c>
      <c r="L365" s="162">
        <f t="shared" si="116"/>
        <v>0</v>
      </c>
      <c r="M365" s="170">
        <f t="shared" si="116"/>
        <v>0</v>
      </c>
      <c r="N365" s="170">
        <f t="shared" si="116"/>
        <v>1746</v>
      </c>
      <c r="O365" s="170">
        <f t="shared" si="116"/>
        <v>20456086.27</v>
      </c>
      <c r="P365" s="170">
        <f t="shared" si="116"/>
        <v>0</v>
      </c>
      <c r="Q365" s="170">
        <f t="shared" si="116"/>
        <v>0</v>
      </c>
      <c r="R365" s="170">
        <f t="shared" si="116"/>
        <v>0</v>
      </c>
      <c r="S365" s="170">
        <f t="shared" si="116"/>
        <v>0</v>
      </c>
      <c r="T365" s="170">
        <f t="shared" si="116"/>
        <v>0</v>
      </c>
      <c r="U365" s="170">
        <f t="shared" si="116"/>
        <v>0</v>
      </c>
      <c r="V365" s="170">
        <f t="shared" si="116"/>
        <v>0</v>
      </c>
      <c r="W365" s="170">
        <f t="shared" si="116"/>
        <v>0</v>
      </c>
      <c r="X365" s="170">
        <f t="shared" si="116"/>
        <v>0</v>
      </c>
      <c r="Y365" s="170">
        <f t="shared" si="116"/>
        <v>400000</v>
      </c>
      <c r="Z365" s="170">
        <f t="shared" si="116"/>
        <v>366862.49</v>
      </c>
      <c r="AA365" s="170">
        <f t="shared" si="116"/>
        <v>0</v>
      </c>
      <c r="AB365" s="146" t="s">
        <v>422</v>
      </c>
      <c r="AC365" s="146" t="s">
        <v>422</v>
      </c>
      <c r="AD365" s="146" t="s">
        <v>422</v>
      </c>
    </row>
    <row r="366" spans="1:30" x14ac:dyDescent="0.3">
      <c r="A366" s="121">
        <v>1</v>
      </c>
      <c r="B366" s="148">
        <f>SUBTOTAL(9,$A$201:A366)</f>
        <v>141</v>
      </c>
      <c r="C366" s="154" t="s">
        <v>270</v>
      </c>
      <c r="D366" s="163" t="s">
        <v>623</v>
      </c>
      <c r="E366" s="144">
        <f>F366+G366+H366+I366+J366+K366+M366+O366+Q366+S366+U366+V366+W366+X366+Z366+AA366+Y366</f>
        <v>20962927.559999999</v>
      </c>
      <c r="F366" s="160">
        <v>0</v>
      </c>
      <c r="G366" s="160">
        <v>0</v>
      </c>
      <c r="H366" s="160">
        <v>0</v>
      </c>
      <c r="I366" s="160">
        <v>0</v>
      </c>
      <c r="J366" s="160">
        <v>0</v>
      </c>
      <c r="K366" s="160">
        <v>0</v>
      </c>
      <c r="L366" s="162">
        <v>0</v>
      </c>
      <c r="M366" s="160">
        <v>0</v>
      </c>
      <c r="N366" s="144">
        <v>1746</v>
      </c>
      <c r="O366" s="153">
        <v>20456086.27</v>
      </c>
      <c r="P366" s="160">
        <v>0</v>
      </c>
      <c r="Q366" s="160">
        <v>0</v>
      </c>
      <c r="R366" s="160">
        <v>0</v>
      </c>
      <c r="S366" s="160">
        <v>0</v>
      </c>
      <c r="T366" s="160">
        <v>0</v>
      </c>
      <c r="U366" s="160">
        <v>0</v>
      </c>
      <c r="V366" s="160">
        <v>0</v>
      </c>
      <c r="W366" s="160">
        <v>0</v>
      </c>
      <c r="X366" s="160">
        <v>0</v>
      </c>
      <c r="Y366" s="160">
        <v>200000</v>
      </c>
      <c r="Z366" s="160">
        <f>ROUND(O366*1.5%,2)</f>
        <v>306841.28999999998</v>
      </c>
      <c r="AA366" s="160">
        <v>0</v>
      </c>
      <c r="AB366" s="150">
        <v>2027</v>
      </c>
      <c r="AC366" s="150">
        <v>2027</v>
      </c>
      <c r="AD366" s="150">
        <v>2027</v>
      </c>
    </row>
    <row r="367" spans="1:30" x14ac:dyDescent="0.3">
      <c r="A367" s="121">
        <v>1</v>
      </c>
      <c r="B367" s="148">
        <f>SUBTOTAL(9,$A$201:A367)</f>
        <v>142</v>
      </c>
      <c r="C367" s="154" t="s">
        <v>747</v>
      </c>
      <c r="D367" s="163"/>
      <c r="E367" s="144">
        <f>F367+G367+H367+I367+J367+K367+M367+O367+Q367+S367+U367+V367+W367+X367+Z367+AA367+Y367</f>
        <v>4261434.5600000005</v>
      </c>
      <c r="F367" s="160">
        <v>0</v>
      </c>
      <c r="G367" s="160">
        <v>0</v>
      </c>
      <c r="H367" s="160">
        <v>4001413.36</v>
      </c>
      <c r="I367" s="160">
        <v>0</v>
      </c>
      <c r="J367" s="160">
        <v>0</v>
      </c>
      <c r="K367" s="160">
        <v>0</v>
      </c>
      <c r="L367" s="162">
        <v>0</v>
      </c>
      <c r="M367" s="160">
        <v>0</v>
      </c>
      <c r="N367" s="144">
        <v>0</v>
      </c>
      <c r="O367" s="153">
        <v>0</v>
      </c>
      <c r="P367" s="160">
        <v>0</v>
      </c>
      <c r="Q367" s="160">
        <v>0</v>
      </c>
      <c r="R367" s="160">
        <v>0</v>
      </c>
      <c r="S367" s="160">
        <v>0</v>
      </c>
      <c r="T367" s="160">
        <v>0</v>
      </c>
      <c r="U367" s="160">
        <v>0</v>
      </c>
      <c r="V367" s="160">
        <v>0</v>
      </c>
      <c r="W367" s="160">
        <v>0</v>
      </c>
      <c r="X367" s="160">
        <v>0</v>
      </c>
      <c r="Y367" s="160">
        <v>200000</v>
      </c>
      <c r="Z367" s="160">
        <f>ROUND(H367*1.5%,2)</f>
        <v>60021.2</v>
      </c>
      <c r="AA367" s="160">
        <v>0</v>
      </c>
      <c r="AB367" s="150">
        <v>2027</v>
      </c>
      <c r="AC367" s="150">
        <v>2027</v>
      </c>
      <c r="AD367" s="150">
        <v>2027</v>
      </c>
    </row>
    <row r="368" spans="1:30" x14ac:dyDescent="0.3">
      <c r="B368" s="141" t="s">
        <v>517</v>
      </c>
      <c r="C368" s="142"/>
      <c r="D368" s="143"/>
      <c r="E368" s="144">
        <f t="shared" ref="E368:AA368" si="117">E369+E397+E403+E417+E428+E442+E445+E447+E449+E452+E455+E457+E465+E469+E478+E480+E486+E490+E492+E498+E505+E507+E509+E511+E513</f>
        <v>1320973690.3</v>
      </c>
      <c r="F368" s="144">
        <f t="shared" si="117"/>
        <v>365546.55</v>
      </c>
      <c r="G368" s="144">
        <f t="shared" si="117"/>
        <v>0</v>
      </c>
      <c r="H368" s="144">
        <f t="shared" si="117"/>
        <v>1641243.74</v>
      </c>
      <c r="I368" s="144">
        <f t="shared" si="117"/>
        <v>2380408.96</v>
      </c>
      <c r="J368" s="144">
        <f t="shared" si="117"/>
        <v>0</v>
      </c>
      <c r="K368" s="144">
        <f t="shared" si="117"/>
        <v>0</v>
      </c>
      <c r="L368" s="145">
        <f t="shared" si="117"/>
        <v>7</v>
      </c>
      <c r="M368" s="144">
        <f t="shared" si="117"/>
        <v>28964843.850000001</v>
      </c>
      <c r="N368" s="144">
        <f t="shared" si="117"/>
        <v>94997.917589999983</v>
      </c>
      <c r="O368" s="144">
        <f t="shared" si="117"/>
        <v>1187344273.6299999</v>
      </c>
      <c r="P368" s="144">
        <f t="shared" si="117"/>
        <v>0</v>
      </c>
      <c r="Q368" s="144">
        <f t="shared" si="117"/>
        <v>0</v>
      </c>
      <c r="R368" s="144">
        <f t="shared" si="117"/>
        <v>4405.96</v>
      </c>
      <c r="S368" s="144">
        <f t="shared" si="117"/>
        <v>47167349.090000004</v>
      </c>
      <c r="T368" s="144">
        <f t="shared" si="117"/>
        <v>0</v>
      </c>
      <c r="U368" s="144">
        <f t="shared" si="117"/>
        <v>0</v>
      </c>
      <c r="V368" s="144">
        <f t="shared" si="117"/>
        <v>7409370.6399999997</v>
      </c>
      <c r="W368" s="144">
        <f t="shared" si="117"/>
        <v>0</v>
      </c>
      <c r="X368" s="144">
        <f t="shared" si="117"/>
        <v>0</v>
      </c>
      <c r="Y368" s="144">
        <f t="shared" si="117"/>
        <v>24530000</v>
      </c>
      <c r="Z368" s="144">
        <f t="shared" si="117"/>
        <v>21050653.84</v>
      </c>
      <c r="AA368" s="144">
        <f t="shared" si="117"/>
        <v>120000</v>
      </c>
      <c r="AB368" s="146" t="s">
        <v>422</v>
      </c>
      <c r="AC368" s="146" t="s">
        <v>422</v>
      </c>
      <c r="AD368" s="146" t="s">
        <v>422</v>
      </c>
    </row>
    <row r="369" spans="1:30" x14ac:dyDescent="0.3">
      <c r="B369" s="141" t="s">
        <v>413</v>
      </c>
      <c r="C369" s="142"/>
      <c r="D369" s="143"/>
      <c r="E369" s="144">
        <f>SUM(E370:E396)</f>
        <v>333700934.19999999</v>
      </c>
      <c r="F369" s="144">
        <f t="shared" ref="F369:AA369" si="118">SUM(F370:F396)</f>
        <v>0</v>
      </c>
      <c r="G369" s="144">
        <f t="shared" si="118"/>
        <v>0</v>
      </c>
      <c r="H369" s="144">
        <f t="shared" si="118"/>
        <v>0</v>
      </c>
      <c r="I369" s="144">
        <f t="shared" si="118"/>
        <v>0</v>
      </c>
      <c r="J369" s="144">
        <f t="shared" si="118"/>
        <v>0</v>
      </c>
      <c r="K369" s="144">
        <f t="shared" si="118"/>
        <v>0</v>
      </c>
      <c r="L369" s="145">
        <f>SUM(L370:L396)</f>
        <v>5</v>
      </c>
      <c r="M369" s="144">
        <f t="shared" si="118"/>
        <v>21007638.920000002</v>
      </c>
      <c r="N369" s="144">
        <f t="shared" si="118"/>
        <v>21293.66</v>
      </c>
      <c r="O369" s="144">
        <f t="shared" si="118"/>
        <v>257254128.33999997</v>
      </c>
      <c r="P369" s="144">
        <f t="shared" si="118"/>
        <v>0</v>
      </c>
      <c r="Q369" s="144">
        <f t="shared" si="118"/>
        <v>0</v>
      </c>
      <c r="R369" s="144">
        <f t="shared" si="118"/>
        <v>4018.96</v>
      </c>
      <c r="S369" s="144">
        <f t="shared" si="118"/>
        <v>42988849.420000002</v>
      </c>
      <c r="T369" s="144">
        <f t="shared" si="118"/>
        <v>0</v>
      </c>
      <c r="U369" s="144">
        <f t="shared" si="118"/>
        <v>0</v>
      </c>
      <c r="V369" s="144">
        <f t="shared" si="118"/>
        <v>0</v>
      </c>
      <c r="W369" s="144">
        <f t="shared" si="118"/>
        <v>0</v>
      </c>
      <c r="X369" s="144">
        <f t="shared" si="118"/>
        <v>0</v>
      </c>
      <c r="Y369" s="144">
        <f t="shared" si="118"/>
        <v>5710000</v>
      </c>
      <c r="Z369" s="144">
        <f t="shared" si="118"/>
        <v>6740317.5200000005</v>
      </c>
      <c r="AA369" s="144">
        <f t="shared" si="118"/>
        <v>0</v>
      </c>
      <c r="AB369" s="146" t="s">
        <v>422</v>
      </c>
      <c r="AC369" s="146" t="s">
        <v>422</v>
      </c>
      <c r="AD369" s="146" t="s">
        <v>422</v>
      </c>
    </row>
    <row r="370" spans="1:30" x14ac:dyDescent="0.25">
      <c r="A370" s="121">
        <v>1</v>
      </c>
      <c r="B370" s="148">
        <f>SUBTOTAL(9,$A$370:A370)</f>
        <v>1</v>
      </c>
      <c r="C370" s="154" t="s">
        <v>84</v>
      </c>
      <c r="D370" s="163" t="s">
        <v>113</v>
      </c>
      <c r="E370" s="144">
        <f t="shared" ref="E370:E379" si="119">F370+G370+H370+I370+J370+K370+M370+O370+Q370+S370+U370+V370+W370+X370+Y370+Z370+AA370</f>
        <v>2845203.85</v>
      </c>
      <c r="F370" s="151">
        <v>0</v>
      </c>
      <c r="G370" s="151">
        <v>0</v>
      </c>
      <c r="H370" s="151">
        <v>0</v>
      </c>
      <c r="I370" s="151">
        <v>0</v>
      </c>
      <c r="J370" s="151">
        <v>0</v>
      </c>
      <c r="K370" s="151">
        <v>0</v>
      </c>
      <c r="L370" s="152">
        <v>0</v>
      </c>
      <c r="M370" s="151">
        <v>0</v>
      </c>
      <c r="N370" s="151">
        <v>220</v>
      </c>
      <c r="O370" s="153">
        <v>2638734.92</v>
      </c>
      <c r="P370" s="151">
        <v>0</v>
      </c>
      <c r="Q370" s="151">
        <v>0</v>
      </c>
      <c r="R370" s="151">
        <v>0</v>
      </c>
      <c r="S370" s="151">
        <v>0</v>
      </c>
      <c r="T370" s="151">
        <v>0</v>
      </c>
      <c r="U370" s="151">
        <v>0</v>
      </c>
      <c r="V370" s="151">
        <v>0</v>
      </c>
      <c r="W370" s="151">
        <v>0</v>
      </c>
      <c r="X370" s="151">
        <v>0</v>
      </c>
      <c r="Y370" s="153">
        <v>150000</v>
      </c>
      <c r="Z370" s="153">
        <v>56468.93</v>
      </c>
      <c r="AA370" s="151">
        <v>0</v>
      </c>
      <c r="AB370" s="150">
        <v>2028</v>
      </c>
      <c r="AC370" s="150">
        <v>2028</v>
      </c>
      <c r="AD370" s="150">
        <v>2028</v>
      </c>
    </row>
    <row r="371" spans="1:30" x14ac:dyDescent="0.25">
      <c r="A371" s="121">
        <v>1</v>
      </c>
      <c r="B371" s="148">
        <f>SUBTOTAL(9,$A$370:A371)</f>
        <v>2</v>
      </c>
      <c r="C371" s="154" t="s">
        <v>85</v>
      </c>
      <c r="D371" s="163" t="s">
        <v>113</v>
      </c>
      <c r="E371" s="144">
        <f t="shared" si="119"/>
        <v>10179912.560000001</v>
      </c>
      <c r="F371" s="151">
        <v>0</v>
      </c>
      <c r="G371" s="151">
        <v>0</v>
      </c>
      <c r="H371" s="151">
        <v>0</v>
      </c>
      <c r="I371" s="151">
        <v>0</v>
      </c>
      <c r="J371" s="151">
        <v>0</v>
      </c>
      <c r="K371" s="151">
        <v>0</v>
      </c>
      <c r="L371" s="152">
        <v>0</v>
      </c>
      <c r="M371" s="151">
        <v>0</v>
      </c>
      <c r="N371" s="144">
        <v>567</v>
      </c>
      <c r="O371" s="144">
        <v>9770817.0999999996</v>
      </c>
      <c r="P371" s="151">
        <v>0</v>
      </c>
      <c r="Q371" s="151">
        <v>0</v>
      </c>
      <c r="R371" s="151">
        <v>0</v>
      </c>
      <c r="S371" s="151">
        <v>0</v>
      </c>
      <c r="T371" s="151">
        <v>0</v>
      </c>
      <c r="U371" s="151">
        <v>0</v>
      </c>
      <c r="V371" s="151">
        <v>0</v>
      </c>
      <c r="W371" s="151">
        <v>0</v>
      </c>
      <c r="X371" s="151">
        <v>0</v>
      </c>
      <c r="Y371" s="153">
        <v>200000</v>
      </c>
      <c r="Z371" s="155">
        <v>209095.46</v>
      </c>
      <c r="AA371" s="151">
        <v>0</v>
      </c>
      <c r="AB371" s="150">
        <v>2028</v>
      </c>
      <c r="AC371" s="150">
        <v>2028</v>
      </c>
      <c r="AD371" s="150">
        <v>2028</v>
      </c>
    </row>
    <row r="372" spans="1:30" x14ac:dyDescent="0.25">
      <c r="A372" s="121">
        <v>1</v>
      </c>
      <c r="B372" s="148">
        <f>SUBTOTAL(9,$A$370:A372)</f>
        <v>3</v>
      </c>
      <c r="C372" s="154" t="s">
        <v>96</v>
      </c>
      <c r="D372" s="163" t="s">
        <v>113</v>
      </c>
      <c r="E372" s="144">
        <f t="shared" si="119"/>
        <v>9914029.1199999992</v>
      </c>
      <c r="F372" s="151">
        <v>0</v>
      </c>
      <c r="G372" s="151">
        <v>0</v>
      </c>
      <c r="H372" s="151">
        <v>0</v>
      </c>
      <c r="I372" s="151">
        <v>0</v>
      </c>
      <c r="J372" s="151">
        <v>0</v>
      </c>
      <c r="K372" s="151">
        <v>0</v>
      </c>
      <c r="L372" s="152">
        <v>0</v>
      </c>
      <c r="M372" s="151">
        <v>0</v>
      </c>
      <c r="N372" s="144">
        <v>822.7</v>
      </c>
      <c r="O372" s="144">
        <v>9706309.6099999994</v>
      </c>
      <c r="P372" s="151">
        <v>0</v>
      </c>
      <c r="Q372" s="151">
        <v>0</v>
      </c>
      <c r="R372" s="151">
        <v>0</v>
      </c>
      <c r="S372" s="151">
        <v>0</v>
      </c>
      <c r="T372" s="151">
        <v>0</v>
      </c>
      <c r="U372" s="151">
        <v>0</v>
      </c>
      <c r="V372" s="151">
        <v>0</v>
      </c>
      <c r="W372" s="151">
        <v>0</v>
      </c>
      <c r="X372" s="151">
        <v>0</v>
      </c>
      <c r="Y372" s="153">
        <v>0</v>
      </c>
      <c r="Z372" s="153">
        <v>207719.51</v>
      </c>
      <c r="AA372" s="151">
        <v>0</v>
      </c>
      <c r="AB372" s="146" t="s">
        <v>425</v>
      </c>
      <c r="AC372" s="150">
        <v>2028</v>
      </c>
      <c r="AD372" s="150">
        <v>2028</v>
      </c>
    </row>
    <row r="373" spans="1:30" x14ac:dyDescent="0.25">
      <c r="A373" s="121">
        <v>1</v>
      </c>
      <c r="B373" s="148">
        <f>SUBTOTAL(9,$A$370:A373)</f>
        <v>4</v>
      </c>
      <c r="C373" s="154" t="s">
        <v>87</v>
      </c>
      <c r="D373" s="163" t="s">
        <v>113</v>
      </c>
      <c r="E373" s="144">
        <f t="shared" si="119"/>
        <v>15519264.18</v>
      </c>
      <c r="F373" s="151">
        <v>0</v>
      </c>
      <c r="G373" s="151">
        <v>0</v>
      </c>
      <c r="H373" s="151">
        <v>0</v>
      </c>
      <c r="I373" s="151">
        <v>0</v>
      </c>
      <c r="J373" s="151">
        <v>0</v>
      </c>
      <c r="K373" s="151">
        <v>0</v>
      </c>
      <c r="L373" s="152">
        <v>0</v>
      </c>
      <c r="M373" s="151">
        <v>0</v>
      </c>
      <c r="N373" s="153">
        <v>1200</v>
      </c>
      <c r="O373" s="153">
        <v>14978719.58</v>
      </c>
      <c r="P373" s="151">
        <v>0</v>
      </c>
      <c r="Q373" s="151">
        <v>0</v>
      </c>
      <c r="R373" s="153">
        <v>0</v>
      </c>
      <c r="S373" s="153">
        <v>0</v>
      </c>
      <c r="T373" s="151">
        <v>0</v>
      </c>
      <c r="U373" s="151">
        <v>0</v>
      </c>
      <c r="V373" s="151">
        <v>0</v>
      </c>
      <c r="W373" s="151">
        <v>0</v>
      </c>
      <c r="X373" s="151">
        <v>0</v>
      </c>
      <c r="Y373" s="153">
        <v>220000</v>
      </c>
      <c r="Z373" s="155">
        <v>320544.59999999998</v>
      </c>
      <c r="AA373" s="151">
        <v>0</v>
      </c>
      <c r="AB373" s="150">
        <v>2028</v>
      </c>
      <c r="AC373" s="150">
        <v>2028</v>
      </c>
      <c r="AD373" s="150">
        <v>2028</v>
      </c>
    </row>
    <row r="374" spans="1:30" x14ac:dyDescent="0.25">
      <c r="A374" s="121">
        <v>1</v>
      </c>
      <c r="B374" s="148">
        <f>SUBTOTAL(9,$A$370:A374)</f>
        <v>5</v>
      </c>
      <c r="C374" s="154" t="s">
        <v>88</v>
      </c>
      <c r="D374" s="163" t="s">
        <v>113</v>
      </c>
      <c r="E374" s="144">
        <f t="shared" si="119"/>
        <v>11966100</v>
      </c>
      <c r="F374" s="151">
        <v>0</v>
      </c>
      <c r="G374" s="151">
        <v>0</v>
      </c>
      <c r="H374" s="151">
        <v>0</v>
      </c>
      <c r="I374" s="151">
        <v>0</v>
      </c>
      <c r="J374" s="151">
        <v>0</v>
      </c>
      <c r="K374" s="151">
        <v>0</v>
      </c>
      <c r="L374" s="152">
        <v>0</v>
      </c>
      <c r="M374" s="151">
        <v>0</v>
      </c>
      <c r="N374" s="144">
        <v>1065</v>
      </c>
      <c r="O374" s="144">
        <v>11500000</v>
      </c>
      <c r="P374" s="151">
        <v>0</v>
      </c>
      <c r="Q374" s="151">
        <v>0</v>
      </c>
      <c r="R374" s="151">
        <v>0</v>
      </c>
      <c r="S374" s="151">
        <v>0</v>
      </c>
      <c r="T374" s="151">
        <v>0</v>
      </c>
      <c r="U374" s="151">
        <v>0</v>
      </c>
      <c r="V374" s="151">
        <v>0</v>
      </c>
      <c r="W374" s="151">
        <v>0</v>
      </c>
      <c r="X374" s="151">
        <v>0</v>
      </c>
      <c r="Y374" s="153">
        <v>220000</v>
      </c>
      <c r="Z374" s="155">
        <v>246100</v>
      </c>
      <c r="AA374" s="151">
        <v>0</v>
      </c>
      <c r="AB374" s="150">
        <v>2028</v>
      </c>
      <c r="AC374" s="150">
        <v>2028</v>
      </c>
      <c r="AD374" s="150">
        <v>2028</v>
      </c>
    </row>
    <row r="375" spans="1:30" x14ac:dyDescent="0.25">
      <c r="A375" s="121">
        <v>1</v>
      </c>
      <c r="B375" s="148">
        <f>SUBTOTAL(9,$A$370:A375)</f>
        <v>6</v>
      </c>
      <c r="C375" s="154" t="s">
        <v>90</v>
      </c>
      <c r="D375" s="163" t="s">
        <v>113</v>
      </c>
      <c r="E375" s="144">
        <f t="shared" si="119"/>
        <v>30431300</v>
      </c>
      <c r="F375" s="144">
        <v>0</v>
      </c>
      <c r="G375" s="144">
        <v>0</v>
      </c>
      <c r="H375" s="144">
        <v>0</v>
      </c>
      <c r="I375" s="144">
        <v>0</v>
      </c>
      <c r="J375" s="144">
        <v>0</v>
      </c>
      <c r="K375" s="144">
        <v>0</v>
      </c>
      <c r="L375" s="145">
        <v>0</v>
      </c>
      <c r="M375" s="144">
        <v>0</v>
      </c>
      <c r="N375" s="153">
        <v>2649.66</v>
      </c>
      <c r="O375" s="153">
        <v>29500000</v>
      </c>
      <c r="P375" s="144">
        <v>0</v>
      </c>
      <c r="Q375" s="144">
        <v>0</v>
      </c>
      <c r="R375" s="144">
        <v>0</v>
      </c>
      <c r="S375" s="144">
        <v>0</v>
      </c>
      <c r="T375" s="151">
        <v>0</v>
      </c>
      <c r="U375" s="151">
        <v>0</v>
      </c>
      <c r="V375" s="151">
        <v>0</v>
      </c>
      <c r="W375" s="151">
        <v>0</v>
      </c>
      <c r="X375" s="151">
        <v>0</v>
      </c>
      <c r="Y375" s="153">
        <v>300000</v>
      </c>
      <c r="Z375" s="153">
        <v>631300</v>
      </c>
      <c r="AA375" s="151">
        <v>0</v>
      </c>
      <c r="AB375" s="150">
        <v>2028</v>
      </c>
      <c r="AC375" s="150">
        <v>2028</v>
      </c>
      <c r="AD375" s="150">
        <v>2028</v>
      </c>
    </row>
    <row r="376" spans="1:30" x14ac:dyDescent="0.25">
      <c r="A376" s="121">
        <v>1</v>
      </c>
      <c r="B376" s="148">
        <f>SUBTOTAL(9,$A$370:A376)</f>
        <v>7</v>
      </c>
      <c r="C376" s="154" t="s">
        <v>91</v>
      </c>
      <c r="D376" s="163" t="s">
        <v>113</v>
      </c>
      <c r="E376" s="144">
        <f t="shared" si="119"/>
        <v>14280629.119999999</v>
      </c>
      <c r="F376" s="151">
        <v>0</v>
      </c>
      <c r="G376" s="151">
        <v>0</v>
      </c>
      <c r="H376" s="151">
        <v>0</v>
      </c>
      <c r="I376" s="151">
        <v>0</v>
      </c>
      <c r="J376" s="151">
        <v>0</v>
      </c>
      <c r="K376" s="151">
        <v>0</v>
      </c>
      <c r="L376" s="152">
        <v>0</v>
      </c>
      <c r="M376" s="151">
        <v>0</v>
      </c>
      <c r="N376" s="151">
        <v>1125</v>
      </c>
      <c r="O376" s="153">
        <v>13766035.949999999</v>
      </c>
      <c r="P376" s="151">
        <v>0</v>
      </c>
      <c r="Q376" s="151">
        <v>0</v>
      </c>
      <c r="R376" s="151">
        <v>0</v>
      </c>
      <c r="S376" s="151">
        <v>0</v>
      </c>
      <c r="T376" s="151">
        <v>0</v>
      </c>
      <c r="U376" s="151">
        <v>0</v>
      </c>
      <c r="V376" s="151">
        <v>0</v>
      </c>
      <c r="W376" s="151">
        <v>0</v>
      </c>
      <c r="X376" s="151">
        <v>0</v>
      </c>
      <c r="Y376" s="153">
        <v>220000</v>
      </c>
      <c r="Z376" s="153">
        <v>294593.17</v>
      </c>
      <c r="AA376" s="151">
        <v>0</v>
      </c>
      <c r="AB376" s="150">
        <v>2028</v>
      </c>
      <c r="AC376" s="150">
        <v>2028</v>
      </c>
      <c r="AD376" s="150">
        <v>2028</v>
      </c>
    </row>
    <row r="377" spans="1:30" x14ac:dyDescent="0.25">
      <c r="A377" s="121">
        <v>1</v>
      </c>
      <c r="B377" s="148">
        <f>SUBTOTAL(9,$A$370:A377)</f>
        <v>8</v>
      </c>
      <c r="C377" s="154" t="s">
        <v>92</v>
      </c>
      <c r="D377" s="163" t="s">
        <v>113</v>
      </c>
      <c r="E377" s="144">
        <f t="shared" si="119"/>
        <v>8504911.4100000001</v>
      </c>
      <c r="F377" s="151">
        <v>0</v>
      </c>
      <c r="G377" s="151">
        <v>0</v>
      </c>
      <c r="H377" s="151">
        <v>0</v>
      </c>
      <c r="I377" s="151">
        <v>0</v>
      </c>
      <c r="J377" s="151">
        <v>0</v>
      </c>
      <c r="K377" s="151">
        <v>0</v>
      </c>
      <c r="L377" s="152">
        <v>0</v>
      </c>
      <c r="M377" s="151">
        <v>0</v>
      </c>
      <c r="N377" s="151">
        <v>670</v>
      </c>
      <c r="O377" s="153">
        <v>8130909.9400000004</v>
      </c>
      <c r="P377" s="151">
        <v>0</v>
      </c>
      <c r="Q377" s="151">
        <v>0</v>
      </c>
      <c r="R377" s="151">
        <v>0</v>
      </c>
      <c r="S377" s="151">
        <v>0</v>
      </c>
      <c r="T377" s="151">
        <v>0</v>
      </c>
      <c r="U377" s="151">
        <v>0</v>
      </c>
      <c r="V377" s="151">
        <v>0</v>
      </c>
      <c r="W377" s="151">
        <v>0</v>
      </c>
      <c r="X377" s="151">
        <v>0</v>
      </c>
      <c r="Y377" s="153">
        <v>200000</v>
      </c>
      <c r="Z377" s="153">
        <v>174001.47</v>
      </c>
      <c r="AA377" s="151">
        <v>0</v>
      </c>
      <c r="AB377" s="150">
        <v>2028</v>
      </c>
      <c r="AC377" s="150">
        <v>2028</v>
      </c>
      <c r="AD377" s="150">
        <v>2028</v>
      </c>
    </row>
    <row r="378" spans="1:30" x14ac:dyDescent="0.25">
      <c r="A378" s="121">
        <v>1</v>
      </c>
      <c r="B378" s="148">
        <f>SUBTOTAL(9,$A$370:A378)</f>
        <v>9</v>
      </c>
      <c r="C378" s="154" t="s">
        <v>93</v>
      </c>
      <c r="D378" s="163" t="s">
        <v>113</v>
      </c>
      <c r="E378" s="144">
        <f t="shared" si="119"/>
        <v>4747522.0799999991</v>
      </c>
      <c r="F378" s="151">
        <v>0</v>
      </c>
      <c r="G378" s="151">
        <v>0</v>
      </c>
      <c r="H378" s="151">
        <v>0</v>
      </c>
      <c r="I378" s="151">
        <v>0</v>
      </c>
      <c r="J378" s="151">
        <v>0</v>
      </c>
      <c r="K378" s="151">
        <v>0</v>
      </c>
      <c r="L378" s="152">
        <v>0</v>
      </c>
      <c r="M378" s="151">
        <v>0</v>
      </c>
      <c r="N378" s="144">
        <v>374</v>
      </c>
      <c r="O378" s="144">
        <v>4452244.0599999996</v>
      </c>
      <c r="P378" s="151">
        <v>0</v>
      </c>
      <c r="Q378" s="151">
        <v>0</v>
      </c>
      <c r="R378" s="151">
        <v>0</v>
      </c>
      <c r="S378" s="151">
        <v>0</v>
      </c>
      <c r="T378" s="151">
        <v>0</v>
      </c>
      <c r="U378" s="151">
        <v>0</v>
      </c>
      <c r="V378" s="151">
        <v>0</v>
      </c>
      <c r="W378" s="151">
        <v>0</v>
      </c>
      <c r="X378" s="151">
        <v>0</v>
      </c>
      <c r="Y378" s="153">
        <v>200000</v>
      </c>
      <c r="Z378" s="153">
        <v>95278.02</v>
      </c>
      <c r="AA378" s="151">
        <v>0</v>
      </c>
      <c r="AB378" s="150">
        <v>2028</v>
      </c>
      <c r="AC378" s="150">
        <v>2028</v>
      </c>
      <c r="AD378" s="150">
        <v>2028</v>
      </c>
    </row>
    <row r="379" spans="1:30" x14ac:dyDescent="0.25">
      <c r="A379" s="121">
        <v>1</v>
      </c>
      <c r="B379" s="148">
        <f>SUBTOTAL(9,$A$370:A379)</f>
        <v>10</v>
      </c>
      <c r="C379" s="154" t="s">
        <v>95</v>
      </c>
      <c r="D379" s="163" t="s">
        <v>113</v>
      </c>
      <c r="E379" s="144">
        <f t="shared" si="119"/>
        <v>12219407.199999999</v>
      </c>
      <c r="F379" s="151">
        <v>0</v>
      </c>
      <c r="G379" s="151">
        <v>0</v>
      </c>
      <c r="H379" s="151">
        <v>0</v>
      </c>
      <c r="I379" s="151">
        <v>0</v>
      </c>
      <c r="J379" s="151">
        <v>0</v>
      </c>
      <c r="K379" s="151">
        <v>0</v>
      </c>
      <c r="L379" s="152">
        <v>0</v>
      </c>
      <c r="M379" s="151">
        <v>0</v>
      </c>
      <c r="N379" s="151">
        <v>1100</v>
      </c>
      <c r="O379" s="151">
        <v>11748000</v>
      </c>
      <c r="P379" s="151">
        <v>0</v>
      </c>
      <c r="Q379" s="151">
        <v>0</v>
      </c>
      <c r="R379" s="153">
        <v>0</v>
      </c>
      <c r="S379" s="153">
        <v>0</v>
      </c>
      <c r="T379" s="151">
        <v>0</v>
      </c>
      <c r="U379" s="151">
        <v>0</v>
      </c>
      <c r="V379" s="151">
        <v>0</v>
      </c>
      <c r="W379" s="151">
        <v>0</v>
      </c>
      <c r="X379" s="151">
        <v>0</v>
      </c>
      <c r="Y379" s="151">
        <v>220000</v>
      </c>
      <c r="Z379" s="153">
        <v>251407.2</v>
      </c>
      <c r="AA379" s="151">
        <v>0</v>
      </c>
      <c r="AB379" s="150">
        <v>2028</v>
      </c>
      <c r="AC379" s="150">
        <v>2028</v>
      </c>
      <c r="AD379" s="150">
        <v>2028</v>
      </c>
    </row>
    <row r="380" spans="1:30" x14ac:dyDescent="0.25">
      <c r="A380" s="121">
        <v>1</v>
      </c>
      <c r="B380" s="148">
        <f>SUBTOTAL(9,$A$370:A380)</f>
        <v>11</v>
      </c>
      <c r="C380" s="154" t="s">
        <v>98</v>
      </c>
      <c r="D380" s="163" t="s">
        <v>113</v>
      </c>
      <c r="E380" s="144">
        <f t="shared" ref="E380:E396" si="120">F380+G380+H380+I380+J380+K380+M380+O380+Q380+S380+U380+V380+W380+X380+Y380+Z380+AA380</f>
        <v>11589525.949999999</v>
      </c>
      <c r="F380" s="151">
        <v>0</v>
      </c>
      <c r="G380" s="151">
        <v>0</v>
      </c>
      <c r="H380" s="151">
        <v>0</v>
      </c>
      <c r="I380" s="151">
        <v>0</v>
      </c>
      <c r="J380" s="151">
        <v>0</v>
      </c>
      <c r="K380" s="151">
        <v>0</v>
      </c>
      <c r="L380" s="152">
        <v>0</v>
      </c>
      <c r="M380" s="151">
        <v>0</v>
      </c>
      <c r="N380" s="151">
        <v>913</v>
      </c>
      <c r="O380" s="153">
        <v>11131315.789999999</v>
      </c>
      <c r="P380" s="151">
        <v>0</v>
      </c>
      <c r="Q380" s="151">
        <v>0</v>
      </c>
      <c r="R380" s="151">
        <v>0</v>
      </c>
      <c r="S380" s="151">
        <v>0</v>
      </c>
      <c r="T380" s="151">
        <v>0</v>
      </c>
      <c r="U380" s="151">
        <v>0</v>
      </c>
      <c r="V380" s="151">
        <v>0</v>
      </c>
      <c r="W380" s="151">
        <v>0</v>
      </c>
      <c r="X380" s="151">
        <v>0</v>
      </c>
      <c r="Y380" s="153">
        <v>220000</v>
      </c>
      <c r="Z380" s="153">
        <v>238210.16</v>
      </c>
      <c r="AA380" s="151">
        <v>0</v>
      </c>
      <c r="AB380" s="150">
        <v>2028</v>
      </c>
      <c r="AC380" s="150">
        <v>2028</v>
      </c>
      <c r="AD380" s="150">
        <v>2028</v>
      </c>
    </row>
    <row r="381" spans="1:30" x14ac:dyDescent="0.25">
      <c r="A381" s="121">
        <v>1</v>
      </c>
      <c r="B381" s="148">
        <f>SUBTOTAL(9,$A$370:A381)</f>
        <v>12</v>
      </c>
      <c r="C381" s="154" t="s">
        <v>99</v>
      </c>
      <c r="D381" s="163" t="s">
        <v>113</v>
      </c>
      <c r="E381" s="144">
        <f t="shared" si="120"/>
        <v>22308077.829999998</v>
      </c>
      <c r="F381" s="151">
        <v>0</v>
      </c>
      <c r="G381" s="151">
        <v>0</v>
      </c>
      <c r="H381" s="151">
        <v>0</v>
      </c>
      <c r="I381" s="151">
        <v>0</v>
      </c>
      <c r="J381" s="151">
        <v>0</v>
      </c>
      <c r="K381" s="151">
        <v>0</v>
      </c>
      <c r="L381" s="152">
        <v>0</v>
      </c>
      <c r="M381" s="151">
        <v>0</v>
      </c>
      <c r="N381" s="153">
        <v>0</v>
      </c>
      <c r="O381" s="153">
        <v>0</v>
      </c>
      <c r="P381" s="151">
        <v>0</v>
      </c>
      <c r="Q381" s="151">
        <v>0</v>
      </c>
      <c r="R381" s="153">
        <v>1944</v>
      </c>
      <c r="S381" s="153">
        <v>21625296.489999998</v>
      </c>
      <c r="T381" s="151">
        <v>0</v>
      </c>
      <c r="U381" s="151">
        <v>0</v>
      </c>
      <c r="V381" s="151">
        <v>0</v>
      </c>
      <c r="W381" s="151">
        <v>0</v>
      </c>
      <c r="X381" s="151">
        <v>0</v>
      </c>
      <c r="Y381" s="151">
        <v>220000</v>
      </c>
      <c r="Z381" s="155">
        <v>462781.34</v>
      </c>
      <c r="AA381" s="151">
        <v>0</v>
      </c>
      <c r="AB381" s="150">
        <v>2028</v>
      </c>
      <c r="AC381" s="150">
        <v>2028</v>
      </c>
      <c r="AD381" s="150">
        <v>2028</v>
      </c>
    </row>
    <row r="382" spans="1:30" x14ac:dyDescent="0.25">
      <c r="A382" s="121">
        <v>1</v>
      </c>
      <c r="B382" s="148">
        <f>SUBTOTAL(9,$A$370:A382)</f>
        <v>13</v>
      </c>
      <c r="C382" s="154" t="s">
        <v>100</v>
      </c>
      <c r="D382" s="163" t="s">
        <v>113</v>
      </c>
      <c r="E382" s="144">
        <f t="shared" si="120"/>
        <v>22070732.829999998</v>
      </c>
      <c r="F382" s="151">
        <v>0</v>
      </c>
      <c r="G382" s="151">
        <v>0</v>
      </c>
      <c r="H382" s="151">
        <v>0</v>
      </c>
      <c r="I382" s="151">
        <v>0</v>
      </c>
      <c r="J382" s="151">
        <v>0</v>
      </c>
      <c r="K382" s="151">
        <v>0</v>
      </c>
      <c r="L382" s="152">
        <v>0</v>
      </c>
      <c r="M382" s="151">
        <v>0</v>
      </c>
      <c r="N382" s="144">
        <v>0</v>
      </c>
      <c r="O382" s="144">
        <v>0</v>
      </c>
      <c r="P382" s="151">
        <v>0</v>
      </c>
      <c r="Q382" s="151">
        <v>0</v>
      </c>
      <c r="R382" s="151">
        <v>2074.96</v>
      </c>
      <c r="S382" s="153">
        <v>21363552.93</v>
      </c>
      <c r="T382" s="151">
        <v>0</v>
      </c>
      <c r="U382" s="151">
        <v>0</v>
      </c>
      <c r="V382" s="151">
        <v>0</v>
      </c>
      <c r="W382" s="151">
        <v>0</v>
      </c>
      <c r="X382" s="151">
        <v>0</v>
      </c>
      <c r="Y382" s="153">
        <v>250000</v>
      </c>
      <c r="Z382" s="153">
        <v>457179.9</v>
      </c>
      <c r="AA382" s="151">
        <v>0</v>
      </c>
      <c r="AB382" s="150">
        <v>2028</v>
      </c>
      <c r="AC382" s="150">
        <v>2028</v>
      </c>
      <c r="AD382" s="150">
        <v>2028</v>
      </c>
    </row>
    <row r="383" spans="1:30" x14ac:dyDescent="0.25">
      <c r="A383" s="121">
        <v>1</v>
      </c>
      <c r="B383" s="148">
        <f>SUBTOTAL(9,$A$370:A383)</f>
        <v>14</v>
      </c>
      <c r="C383" s="154" t="s">
        <v>101</v>
      </c>
      <c r="D383" s="163" t="s">
        <v>113</v>
      </c>
      <c r="E383" s="144">
        <f t="shared" si="120"/>
        <v>23860864.310000002</v>
      </c>
      <c r="F383" s="151">
        <v>0</v>
      </c>
      <c r="G383" s="151">
        <v>0</v>
      </c>
      <c r="H383" s="151">
        <v>0</v>
      </c>
      <c r="I383" s="151">
        <v>0</v>
      </c>
      <c r="J383" s="151">
        <v>0</v>
      </c>
      <c r="K383" s="151">
        <v>0</v>
      </c>
      <c r="L383" s="152">
        <v>0</v>
      </c>
      <c r="M383" s="151">
        <v>0</v>
      </c>
      <c r="N383" s="153">
        <v>1845</v>
      </c>
      <c r="O383" s="153">
        <v>23116178.100000001</v>
      </c>
      <c r="P383" s="151">
        <v>0</v>
      </c>
      <c r="Q383" s="151">
        <v>0</v>
      </c>
      <c r="R383" s="153">
        <v>0</v>
      </c>
      <c r="S383" s="153">
        <v>0</v>
      </c>
      <c r="T383" s="151">
        <v>0</v>
      </c>
      <c r="U383" s="151">
        <v>0</v>
      </c>
      <c r="V383" s="151">
        <v>0</v>
      </c>
      <c r="W383" s="151">
        <v>0</v>
      </c>
      <c r="X383" s="151">
        <v>0</v>
      </c>
      <c r="Y383" s="153">
        <v>250000</v>
      </c>
      <c r="Z383" s="155">
        <v>494686.21</v>
      </c>
      <c r="AA383" s="151">
        <v>0</v>
      </c>
      <c r="AB383" s="150">
        <v>2028</v>
      </c>
      <c r="AC383" s="150">
        <v>2028</v>
      </c>
      <c r="AD383" s="150">
        <v>2028</v>
      </c>
    </row>
    <row r="384" spans="1:30" x14ac:dyDescent="0.25">
      <c r="A384" s="121">
        <v>1</v>
      </c>
      <c r="B384" s="148">
        <f>SUBTOTAL(9,$A$370:A384)</f>
        <v>15</v>
      </c>
      <c r="C384" s="154" t="s">
        <v>102</v>
      </c>
      <c r="D384" s="163" t="s">
        <v>113</v>
      </c>
      <c r="E384" s="144">
        <f t="shared" si="120"/>
        <v>8703714.9299999997</v>
      </c>
      <c r="F384" s="144">
        <v>0</v>
      </c>
      <c r="G384" s="144">
        <v>0</v>
      </c>
      <c r="H384" s="144">
        <v>0</v>
      </c>
      <c r="I384" s="144">
        <v>0</v>
      </c>
      <c r="J384" s="144">
        <v>0</v>
      </c>
      <c r="K384" s="144">
        <v>0</v>
      </c>
      <c r="L384" s="145">
        <v>0</v>
      </c>
      <c r="M384" s="144">
        <v>0</v>
      </c>
      <c r="N384" s="153">
        <v>750</v>
      </c>
      <c r="O384" s="153">
        <v>8325549.2300000004</v>
      </c>
      <c r="P384" s="144">
        <v>0</v>
      </c>
      <c r="Q384" s="144">
        <v>0</v>
      </c>
      <c r="R384" s="144">
        <v>0</v>
      </c>
      <c r="S384" s="144">
        <v>0</v>
      </c>
      <c r="T384" s="151">
        <v>0</v>
      </c>
      <c r="U384" s="151">
        <v>0</v>
      </c>
      <c r="V384" s="151">
        <v>0</v>
      </c>
      <c r="W384" s="151">
        <v>0</v>
      </c>
      <c r="X384" s="151">
        <v>0</v>
      </c>
      <c r="Y384" s="153">
        <v>200000</v>
      </c>
      <c r="Z384" s="153">
        <v>178165.7</v>
      </c>
      <c r="AA384" s="151">
        <v>0</v>
      </c>
      <c r="AB384" s="150">
        <v>2028</v>
      </c>
      <c r="AC384" s="150">
        <v>2028</v>
      </c>
      <c r="AD384" s="150">
        <v>2028</v>
      </c>
    </row>
    <row r="385" spans="1:30" x14ac:dyDescent="0.25">
      <c r="A385" s="121">
        <v>1</v>
      </c>
      <c r="B385" s="148">
        <f>SUBTOTAL(9,$A$370:A385)</f>
        <v>16</v>
      </c>
      <c r="C385" s="154" t="s">
        <v>103</v>
      </c>
      <c r="D385" s="163" t="s">
        <v>113</v>
      </c>
      <c r="E385" s="144">
        <f t="shared" si="120"/>
        <v>7620148.7599999998</v>
      </c>
      <c r="F385" s="151">
        <v>0</v>
      </c>
      <c r="G385" s="151">
        <v>0</v>
      </c>
      <c r="H385" s="151">
        <v>0</v>
      </c>
      <c r="I385" s="151">
        <v>0</v>
      </c>
      <c r="J385" s="151">
        <v>0</v>
      </c>
      <c r="K385" s="151">
        <v>0</v>
      </c>
      <c r="L385" s="152">
        <v>0</v>
      </c>
      <c r="M385" s="151">
        <v>0</v>
      </c>
      <c r="N385" s="155">
        <v>600.29999999999995</v>
      </c>
      <c r="O385" s="155">
        <v>7245103.54</v>
      </c>
      <c r="P385" s="151">
        <v>0</v>
      </c>
      <c r="Q385" s="151">
        <v>0</v>
      </c>
      <c r="R385" s="151">
        <v>0</v>
      </c>
      <c r="S385" s="151">
        <v>0</v>
      </c>
      <c r="T385" s="151">
        <v>0</v>
      </c>
      <c r="U385" s="151">
        <v>0</v>
      </c>
      <c r="V385" s="151">
        <v>0</v>
      </c>
      <c r="W385" s="151">
        <v>0</v>
      </c>
      <c r="X385" s="151">
        <v>0</v>
      </c>
      <c r="Y385" s="155">
        <v>220000</v>
      </c>
      <c r="Z385" s="155">
        <v>155045.22</v>
      </c>
      <c r="AA385" s="151">
        <v>0</v>
      </c>
      <c r="AB385" s="150">
        <v>2028</v>
      </c>
      <c r="AC385" s="150">
        <v>2028</v>
      </c>
      <c r="AD385" s="150">
        <v>2028</v>
      </c>
    </row>
    <row r="386" spans="1:30" x14ac:dyDescent="0.25">
      <c r="A386" s="121">
        <v>1</v>
      </c>
      <c r="B386" s="148">
        <f>SUBTOTAL(9,$A$370:A386)</f>
        <v>17</v>
      </c>
      <c r="C386" s="154" t="s">
        <v>104</v>
      </c>
      <c r="D386" s="163" t="s">
        <v>113</v>
      </c>
      <c r="E386" s="144">
        <f t="shared" si="120"/>
        <v>13126711.630000001</v>
      </c>
      <c r="F386" s="151">
        <v>0</v>
      </c>
      <c r="G386" s="151">
        <v>0</v>
      </c>
      <c r="H386" s="151">
        <v>0</v>
      </c>
      <c r="I386" s="151">
        <v>0</v>
      </c>
      <c r="J386" s="151">
        <v>0</v>
      </c>
      <c r="K386" s="151">
        <v>0</v>
      </c>
      <c r="L386" s="152">
        <v>0</v>
      </c>
      <c r="M386" s="151">
        <v>0</v>
      </c>
      <c r="N386" s="153">
        <v>1015</v>
      </c>
      <c r="O386" s="153">
        <v>12655875.890000001</v>
      </c>
      <c r="P386" s="151">
        <v>0</v>
      </c>
      <c r="Q386" s="151">
        <v>0</v>
      </c>
      <c r="R386" s="153">
        <v>0</v>
      </c>
      <c r="S386" s="153">
        <v>0</v>
      </c>
      <c r="T386" s="151">
        <v>0</v>
      </c>
      <c r="U386" s="151">
        <v>0</v>
      </c>
      <c r="V386" s="151">
        <v>0</v>
      </c>
      <c r="W386" s="151">
        <v>0</v>
      </c>
      <c r="X386" s="151">
        <v>0</v>
      </c>
      <c r="Y386" s="153">
        <v>200000</v>
      </c>
      <c r="Z386" s="155">
        <v>270835.74</v>
      </c>
      <c r="AA386" s="151">
        <v>0</v>
      </c>
      <c r="AB386" s="150">
        <v>2028</v>
      </c>
      <c r="AC386" s="150">
        <v>2028</v>
      </c>
      <c r="AD386" s="150">
        <v>2028</v>
      </c>
    </row>
    <row r="387" spans="1:30" x14ac:dyDescent="0.25">
      <c r="A387" s="121">
        <v>1</v>
      </c>
      <c r="B387" s="148">
        <f>SUBTOTAL(9,$A$370:A387)</f>
        <v>18</v>
      </c>
      <c r="C387" s="154" t="s">
        <v>106</v>
      </c>
      <c r="D387" s="163" t="s">
        <v>113</v>
      </c>
      <c r="E387" s="144">
        <f t="shared" si="120"/>
        <v>6822519.6299999999</v>
      </c>
      <c r="F387" s="151">
        <v>0</v>
      </c>
      <c r="G387" s="151">
        <v>0</v>
      </c>
      <c r="H387" s="151">
        <v>0</v>
      </c>
      <c r="I387" s="151">
        <v>0</v>
      </c>
      <c r="J387" s="151">
        <v>0</v>
      </c>
      <c r="K387" s="151">
        <v>0</v>
      </c>
      <c r="L387" s="152">
        <v>0</v>
      </c>
      <c r="M387" s="151">
        <v>0</v>
      </c>
      <c r="N387" s="151">
        <v>380</v>
      </c>
      <c r="O387" s="153">
        <v>6483767.0199999996</v>
      </c>
      <c r="P387" s="151">
        <v>0</v>
      </c>
      <c r="Q387" s="151">
        <v>0</v>
      </c>
      <c r="R387" s="151">
        <v>0</v>
      </c>
      <c r="S387" s="151">
        <v>0</v>
      </c>
      <c r="T387" s="151">
        <v>0</v>
      </c>
      <c r="U387" s="151">
        <v>0</v>
      </c>
      <c r="V387" s="151">
        <v>0</v>
      </c>
      <c r="W387" s="151">
        <v>0</v>
      </c>
      <c r="X387" s="151">
        <v>0</v>
      </c>
      <c r="Y387" s="153">
        <v>200000</v>
      </c>
      <c r="Z387" s="153">
        <v>138752.60999999999</v>
      </c>
      <c r="AA387" s="151">
        <v>0</v>
      </c>
      <c r="AB387" s="150">
        <v>2028</v>
      </c>
      <c r="AC387" s="150">
        <v>2028</v>
      </c>
      <c r="AD387" s="150">
        <v>2028</v>
      </c>
    </row>
    <row r="388" spans="1:30" x14ac:dyDescent="0.25">
      <c r="A388" s="121">
        <v>1</v>
      </c>
      <c r="B388" s="148">
        <f>SUBTOTAL(9,$A$370:A388)</f>
        <v>19</v>
      </c>
      <c r="C388" s="154" t="s">
        <v>107</v>
      </c>
      <c r="D388" s="163" t="s">
        <v>113</v>
      </c>
      <c r="E388" s="144">
        <f t="shared" si="120"/>
        <v>18105806.390000001</v>
      </c>
      <c r="F388" s="151">
        <v>0</v>
      </c>
      <c r="G388" s="151">
        <v>0</v>
      </c>
      <c r="H388" s="151">
        <v>0</v>
      </c>
      <c r="I388" s="151">
        <v>0</v>
      </c>
      <c r="J388" s="151">
        <v>0</v>
      </c>
      <c r="K388" s="151">
        <v>0</v>
      </c>
      <c r="L388" s="152">
        <v>0</v>
      </c>
      <c r="M388" s="151">
        <v>0</v>
      </c>
      <c r="N388" s="151">
        <v>1400</v>
      </c>
      <c r="O388" s="153">
        <v>17511069.510000002</v>
      </c>
      <c r="P388" s="151">
        <v>0</v>
      </c>
      <c r="Q388" s="151">
        <v>0</v>
      </c>
      <c r="R388" s="151">
        <v>0</v>
      </c>
      <c r="S388" s="153">
        <v>0</v>
      </c>
      <c r="T388" s="151">
        <v>0</v>
      </c>
      <c r="U388" s="151">
        <v>0</v>
      </c>
      <c r="V388" s="151">
        <v>0</v>
      </c>
      <c r="W388" s="151">
        <v>0</v>
      </c>
      <c r="X388" s="151">
        <v>0</v>
      </c>
      <c r="Y388" s="153">
        <v>220000</v>
      </c>
      <c r="Z388" s="153">
        <v>374736.88</v>
      </c>
      <c r="AA388" s="151">
        <v>0</v>
      </c>
      <c r="AB388" s="150">
        <v>2028</v>
      </c>
      <c r="AC388" s="150">
        <v>2028</v>
      </c>
      <c r="AD388" s="150">
        <v>2028</v>
      </c>
    </row>
    <row r="389" spans="1:30" x14ac:dyDescent="0.25">
      <c r="A389" s="121">
        <v>1</v>
      </c>
      <c r="B389" s="148">
        <f>SUBTOTAL(9,$A$370:A389)</f>
        <v>20</v>
      </c>
      <c r="C389" s="154" t="s">
        <v>108</v>
      </c>
      <c r="D389" s="163" t="s">
        <v>113</v>
      </c>
      <c r="E389" s="144">
        <f t="shared" si="120"/>
        <v>16051700</v>
      </c>
      <c r="F389" s="151">
        <v>0</v>
      </c>
      <c r="G389" s="151">
        <v>0</v>
      </c>
      <c r="H389" s="151">
        <v>0</v>
      </c>
      <c r="I389" s="151">
        <v>0</v>
      </c>
      <c r="J389" s="151">
        <v>0</v>
      </c>
      <c r="K389" s="151">
        <v>0</v>
      </c>
      <c r="L389" s="152">
        <v>0</v>
      </c>
      <c r="M389" s="151">
        <v>0</v>
      </c>
      <c r="N389" s="151">
        <v>1386</v>
      </c>
      <c r="O389" s="153">
        <v>15500000</v>
      </c>
      <c r="P389" s="151">
        <v>0</v>
      </c>
      <c r="Q389" s="151">
        <v>0</v>
      </c>
      <c r="R389" s="151">
        <v>0</v>
      </c>
      <c r="S389" s="151">
        <v>0</v>
      </c>
      <c r="T389" s="151">
        <v>0</v>
      </c>
      <c r="U389" s="151">
        <v>0</v>
      </c>
      <c r="V389" s="151">
        <v>0</v>
      </c>
      <c r="W389" s="151">
        <v>0</v>
      </c>
      <c r="X389" s="151">
        <v>0</v>
      </c>
      <c r="Y389" s="153">
        <v>220000</v>
      </c>
      <c r="Z389" s="153">
        <v>331700</v>
      </c>
      <c r="AA389" s="151">
        <v>0</v>
      </c>
      <c r="AB389" s="150">
        <v>2028</v>
      </c>
      <c r="AC389" s="150">
        <v>2028</v>
      </c>
      <c r="AD389" s="150">
        <v>2028</v>
      </c>
    </row>
    <row r="390" spans="1:30" x14ac:dyDescent="0.25">
      <c r="A390" s="121">
        <v>1</v>
      </c>
      <c r="B390" s="148">
        <f>SUBTOTAL(9,$A$370:A390)</f>
        <v>21</v>
      </c>
      <c r="C390" s="154" t="s">
        <v>109</v>
      </c>
      <c r="D390" s="163" t="s">
        <v>113</v>
      </c>
      <c r="E390" s="144">
        <f t="shared" si="120"/>
        <v>11462586.619999999</v>
      </c>
      <c r="F390" s="151">
        <v>0</v>
      </c>
      <c r="G390" s="151">
        <v>0</v>
      </c>
      <c r="H390" s="151">
        <v>0</v>
      </c>
      <c r="I390" s="151">
        <v>0</v>
      </c>
      <c r="J390" s="151">
        <v>0</v>
      </c>
      <c r="K390" s="151">
        <v>0</v>
      </c>
      <c r="L390" s="152">
        <v>0</v>
      </c>
      <c r="M390" s="151">
        <v>0</v>
      </c>
      <c r="N390" s="151">
        <v>903</v>
      </c>
      <c r="O390" s="153">
        <v>11016826.539999999</v>
      </c>
      <c r="P390" s="151">
        <v>0</v>
      </c>
      <c r="Q390" s="151">
        <v>0</v>
      </c>
      <c r="R390" s="151">
        <v>0</v>
      </c>
      <c r="S390" s="153">
        <v>0</v>
      </c>
      <c r="T390" s="151">
        <v>0</v>
      </c>
      <c r="U390" s="151">
        <v>0</v>
      </c>
      <c r="V390" s="151">
        <v>0</v>
      </c>
      <c r="W390" s="151">
        <v>0</v>
      </c>
      <c r="X390" s="151">
        <v>0</v>
      </c>
      <c r="Y390" s="151">
        <v>210000</v>
      </c>
      <c r="Z390" s="153">
        <v>235760.08</v>
      </c>
      <c r="AA390" s="151">
        <v>0</v>
      </c>
      <c r="AB390" s="150">
        <v>2028</v>
      </c>
      <c r="AC390" s="150">
        <v>2028</v>
      </c>
      <c r="AD390" s="150">
        <v>2028</v>
      </c>
    </row>
    <row r="391" spans="1:30" x14ac:dyDescent="0.25">
      <c r="A391" s="121">
        <v>1</v>
      </c>
      <c r="B391" s="148">
        <f>SUBTOTAL(9,$A$370:A391)</f>
        <v>22</v>
      </c>
      <c r="C391" s="154" t="s">
        <v>110</v>
      </c>
      <c r="D391" s="163" t="s">
        <v>113</v>
      </c>
      <c r="E391" s="144">
        <f t="shared" si="120"/>
        <v>8504911.3800000008</v>
      </c>
      <c r="F391" s="151">
        <v>0</v>
      </c>
      <c r="G391" s="151">
        <v>0</v>
      </c>
      <c r="H391" s="151">
        <v>0</v>
      </c>
      <c r="I391" s="151">
        <v>0</v>
      </c>
      <c r="J391" s="151">
        <v>0</v>
      </c>
      <c r="K391" s="151">
        <v>0</v>
      </c>
      <c r="L391" s="152">
        <v>0</v>
      </c>
      <c r="M391" s="151">
        <v>0</v>
      </c>
      <c r="N391" s="151">
        <v>670</v>
      </c>
      <c r="O391" s="153">
        <v>8130909.9400000004</v>
      </c>
      <c r="P391" s="151">
        <v>0</v>
      </c>
      <c r="Q391" s="151">
        <v>0</v>
      </c>
      <c r="R391" s="151">
        <v>0</v>
      </c>
      <c r="S391" s="153">
        <v>0</v>
      </c>
      <c r="T391" s="151">
        <v>0</v>
      </c>
      <c r="U391" s="151">
        <v>0</v>
      </c>
      <c r="V391" s="151">
        <v>0</v>
      </c>
      <c r="W391" s="151">
        <v>0</v>
      </c>
      <c r="X391" s="151">
        <v>0</v>
      </c>
      <c r="Y391" s="153">
        <v>200000</v>
      </c>
      <c r="Z391" s="153">
        <v>174001.44</v>
      </c>
      <c r="AA391" s="151">
        <v>0</v>
      </c>
      <c r="AB391" s="150">
        <v>2028</v>
      </c>
      <c r="AC391" s="150">
        <v>2028</v>
      </c>
      <c r="AD391" s="150">
        <v>2028</v>
      </c>
    </row>
    <row r="392" spans="1:30" x14ac:dyDescent="0.25">
      <c r="A392" s="121">
        <v>1</v>
      </c>
      <c r="B392" s="148">
        <f>SUBTOTAL(9,$A$370:A392)</f>
        <v>23</v>
      </c>
      <c r="C392" s="154" t="s">
        <v>111</v>
      </c>
      <c r="D392" s="163" t="s">
        <v>113</v>
      </c>
      <c r="E392" s="144">
        <f t="shared" si="120"/>
        <v>6473890.1600000001</v>
      </c>
      <c r="F392" s="151">
        <v>0</v>
      </c>
      <c r="G392" s="151">
        <v>0</v>
      </c>
      <c r="H392" s="151">
        <v>0</v>
      </c>
      <c r="I392" s="151">
        <v>0</v>
      </c>
      <c r="J392" s="151">
        <v>0</v>
      </c>
      <c r="K392" s="151">
        <v>0</v>
      </c>
      <c r="L392" s="152">
        <v>0</v>
      </c>
      <c r="M392" s="151">
        <v>0</v>
      </c>
      <c r="N392" s="151">
        <v>510</v>
      </c>
      <c r="O392" s="153">
        <v>6142441.9000000004</v>
      </c>
      <c r="P392" s="151">
        <v>0</v>
      </c>
      <c r="Q392" s="151">
        <v>0</v>
      </c>
      <c r="R392" s="151">
        <v>0</v>
      </c>
      <c r="S392" s="151">
        <v>0</v>
      </c>
      <c r="T392" s="151">
        <v>0</v>
      </c>
      <c r="U392" s="151">
        <v>0</v>
      </c>
      <c r="V392" s="151">
        <v>0</v>
      </c>
      <c r="W392" s="151">
        <v>0</v>
      </c>
      <c r="X392" s="151">
        <v>0</v>
      </c>
      <c r="Y392" s="153">
        <v>200000</v>
      </c>
      <c r="Z392" s="153">
        <v>131448.26</v>
      </c>
      <c r="AA392" s="151">
        <v>0</v>
      </c>
      <c r="AB392" s="150">
        <v>2028</v>
      </c>
      <c r="AC392" s="150">
        <v>2028</v>
      </c>
      <c r="AD392" s="150">
        <v>2028</v>
      </c>
    </row>
    <row r="393" spans="1:30" x14ac:dyDescent="0.25">
      <c r="A393" s="121">
        <v>1</v>
      </c>
      <c r="B393" s="148">
        <f>SUBTOTAL(9,$A$370:A393)</f>
        <v>24</v>
      </c>
      <c r="C393" s="154" t="s">
        <v>112</v>
      </c>
      <c r="D393" s="163" t="s">
        <v>113</v>
      </c>
      <c r="E393" s="144">
        <f t="shared" si="120"/>
        <v>14318710.76</v>
      </c>
      <c r="F393" s="151">
        <v>0</v>
      </c>
      <c r="G393" s="151">
        <v>0</v>
      </c>
      <c r="H393" s="151">
        <v>0</v>
      </c>
      <c r="I393" s="151">
        <v>0</v>
      </c>
      <c r="J393" s="151">
        <v>0</v>
      </c>
      <c r="K393" s="151">
        <v>0</v>
      </c>
      <c r="L393" s="152">
        <v>0</v>
      </c>
      <c r="M393" s="151">
        <v>0</v>
      </c>
      <c r="N393" s="153">
        <v>1128</v>
      </c>
      <c r="O393" s="153">
        <v>13803319.720000001</v>
      </c>
      <c r="P393" s="151">
        <v>0</v>
      </c>
      <c r="Q393" s="151">
        <v>0</v>
      </c>
      <c r="R393" s="153">
        <v>0</v>
      </c>
      <c r="S393" s="153">
        <v>0</v>
      </c>
      <c r="T393" s="151">
        <v>0</v>
      </c>
      <c r="U393" s="151">
        <v>0</v>
      </c>
      <c r="V393" s="151">
        <v>0</v>
      </c>
      <c r="W393" s="151">
        <v>0</v>
      </c>
      <c r="X393" s="151">
        <v>0</v>
      </c>
      <c r="Y393" s="151">
        <v>220000</v>
      </c>
      <c r="Z393" s="155">
        <v>295391.03999999998</v>
      </c>
      <c r="AA393" s="151">
        <v>0</v>
      </c>
      <c r="AB393" s="150">
        <v>2028</v>
      </c>
      <c r="AC393" s="150">
        <v>2028</v>
      </c>
      <c r="AD393" s="150">
        <v>2028</v>
      </c>
    </row>
    <row r="394" spans="1:30" x14ac:dyDescent="0.25">
      <c r="A394" s="121">
        <v>1</v>
      </c>
      <c r="B394" s="148">
        <f>SUBTOTAL(9,$A$370:A394)</f>
        <v>25</v>
      </c>
      <c r="C394" s="154" t="s">
        <v>679</v>
      </c>
      <c r="D394" s="163" t="s">
        <v>113</v>
      </c>
      <c r="E394" s="144">
        <f t="shared" si="120"/>
        <v>4163281.5</v>
      </c>
      <c r="F394" s="151">
        <v>0</v>
      </c>
      <c r="G394" s="151">
        <v>0</v>
      </c>
      <c r="H394" s="151">
        <v>0</v>
      </c>
      <c r="I394" s="151">
        <v>0</v>
      </c>
      <c r="J394" s="151">
        <v>0</v>
      </c>
      <c r="K394" s="151">
        <v>0</v>
      </c>
      <c r="L394" s="152">
        <v>1</v>
      </c>
      <c r="M394" s="151">
        <v>3904710.84</v>
      </c>
      <c r="N394" s="153">
        <v>0</v>
      </c>
      <c r="O394" s="153">
        <v>0</v>
      </c>
      <c r="P394" s="151">
        <v>0</v>
      </c>
      <c r="Q394" s="151">
        <v>0</v>
      </c>
      <c r="R394" s="153">
        <v>0</v>
      </c>
      <c r="S394" s="153">
        <v>0</v>
      </c>
      <c r="T394" s="151">
        <v>0</v>
      </c>
      <c r="U394" s="151">
        <v>0</v>
      </c>
      <c r="V394" s="151">
        <v>0</v>
      </c>
      <c r="W394" s="151">
        <v>0</v>
      </c>
      <c r="X394" s="151">
        <v>0</v>
      </c>
      <c r="Y394" s="151">
        <v>200000</v>
      </c>
      <c r="Z394" s="155">
        <f>ROUND(M394*1.5%,2)</f>
        <v>58570.66</v>
      </c>
      <c r="AA394" s="151">
        <v>0</v>
      </c>
      <c r="AB394" s="150">
        <v>2028</v>
      </c>
      <c r="AC394" s="150">
        <v>2028</v>
      </c>
      <c r="AD394" s="150">
        <v>2028</v>
      </c>
    </row>
    <row r="395" spans="1:30" x14ac:dyDescent="0.25">
      <c r="A395" s="121">
        <v>1</v>
      </c>
      <c r="B395" s="148">
        <f>SUBTOTAL(9,$A$370:A395)</f>
        <v>26</v>
      </c>
      <c r="C395" s="154" t="s">
        <v>680</v>
      </c>
      <c r="D395" s="163" t="s">
        <v>113</v>
      </c>
      <c r="E395" s="144">
        <f t="shared" si="120"/>
        <v>9517347</v>
      </c>
      <c r="F395" s="151">
        <v>0</v>
      </c>
      <c r="G395" s="151">
        <v>0</v>
      </c>
      <c r="H395" s="151">
        <v>0</v>
      </c>
      <c r="I395" s="151">
        <v>0</v>
      </c>
      <c r="J395" s="151">
        <v>0</v>
      </c>
      <c r="K395" s="151">
        <v>0</v>
      </c>
      <c r="L395" s="152">
        <v>2</v>
      </c>
      <c r="M395" s="151">
        <v>9081130.0500000007</v>
      </c>
      <c r="N395" s="153">
        <v>0</v>
      </c>
      <c r="O395" s="153">
        <v>0</v>
      </c>
      <c r="P395" s="151">
        <v>0</v>
      </c>
      <c r="Q395" s="151">
        <v>0</v>
      </c>
      <c r="R395" s="153">
        <v>0</v>
      </c>
      <c r="S395" s="153">
        <v>0</v>
      </c>
      <c r="T395" s="151">
        <v>0</v>
      </c>
      <c r="U395" s="151">
        <v>0</v>
      </c>
      <c r="V395" s="151">
        <v>0</v>
      </c>
      <c r="W395" s="151">
        <v>0</v>
      </c>
      <c r="X395" s="151">
        <v>0</v>
      </c>
      <c r="Y395" s="151">
        <v>300000</v>
      </c>
      <c r="Z395" s="155">
        <f>ROUND(M395*1.5%,2)</f>
        <v>136216.95000000001</v>
      </c>
      <c r="AA395" s="151">
        <v>0</v>
      </c>
      <c r="AB395" s="150">
        <v>2028</v>
      </c>
      <c r="AC395" s="150">
        <v>2028</v>
      </c>
      <c r="AD395" s="150">
        <v>2028</v>
      </c>
    </row>
    <row r="396" spans="1:30" x14ac:dyDescent="0.25">
      <c r="A396" s="121">
        <v>1</v>
      </c>
      <c r="B396" s="148">
        <f>SUBTOTAL(9,$A$370:A396)</f>
        <v>27</v>
      </c>
      <c r="C396" s="154" t="s">
        <v>72</v>
      </c>
      <c r="D396" s="163" t="s">
        <v>113</v>
      </c>
      <c r="E396" s="144">
        <f t="shared" si="120"/>
        <v>8392125</v>
      </c>
      <c r="F396" s="151">
        <v>0</v>
      </c>
      <c r="G396" s="151">
        <v>0</v>
      </c>
      <c r="H396" s="151">
        <v>0</v>
      </c>
      <c r="I396" s="151">
        <v>0</v>
      </c>
      <c r="J396" s="151">
        <v>0</v>
      </c>
      <c r="K396" s="151">
        <v>0</v>
      </c>
      <c r="L396" s="152">
        <v>2</v>
      </c>
      <c r="M396" s="151">
        <v>8021798.0300000003</v>
      </c>
      <c r="N396" s="153">
        <v>0</v>
      </c>
      <c r="O396" s="153">
        <v>0</v>
      </c>
      <c r="P396" s="151">
        <v>0</v>
      </c>
      <c r="Q396" s="151">
        <v>0</v>
      </c>
      <c r="R396" s="153">
        <v>0</v>
      </c>
      <c r="S396" s="153">
        <v>0</v>
      </c>
      <c r="T396" s="151">
        <v>0</v>
      </c>
      <c r="U396" s="151">
        <v>0</v>
      </c>
      <c r="V396" s="151">
        <v>0</v>
      </c>
      <c r="W396" s="151">
        <v>0</v>
      </c>
      <c r="X396" s="151">
        <v>0</v>
      </c>
      <c r="Y396" s="151">
        <v>250000</v>
      </c>
      <c r="Z396" s="155">
        <f>ROUND(M396*1.5%,2)</f>
        <v>120326.97</v>
      </c>
      <c r="AA396" s="151">
        <v>0</v>
      </c>
      <c r="AB396" s="150">
        <v>2028</v>
      </c>
      <c r="AC396" s="150">
        <v>2028</v>
      </c>
      <c r="AD396" s="150">
        <v>2028</v>
      </c>
    </row>
    <row r="397" spans="1:30" x14ac:dyDescent="0.3">
      <c r="B397" s="141" t="s">
        <v>416</v>
      </c>
      <c r="C397" s="142"/>
      <c r="D397" s="143"/>
      <c r="E397" s="144">
        <f>SUM(E398:E402)</f>
        <v>60223102.890000001</v>
      </c>
      <c r="F397" s="144">
        <f t="shared" ref="F397:AA397" si="121">SUM(F398:F402)</f>
        <v>0</v>
      </c>
      <c r="G397" s="144">
        <f t="shared" si="121"/>
        <v>0</v>
      </c>
      <c r="H397" s="144">
        <f t="shared" si="121"/>
        <v>0</v>
      </c>
      <c r="I397" s="144">
        <f t="shared" si="121"/>
        <v>0</v>
      </c>
      <c r="J397" s="144">
        <f t="shared" si="121"/>
        <v>0</v>
      </c>
      <c r="K397" s="144">
        <f t="shared" si="121"/>
        <v>0</v>
      </c>
      <c r="L397" s="145">
        <f t="shared" si="121"/>
        <v>0</v>
      </c>
      <c r="M397" s="144">
        <f t="shared" si="121"/>
        <v>0</v>
      </c>
      <c r="N397" s="144">
        <f t="shared" si="121"/>
        <v>4720.34</v>
      </c>
      <c r="O397" s="144">
        <f t="shared" si="121"/>
        <v>58298623.539999999</v>
      </c>
      <c r="P397" s="144">
        <f t="shared" si="121"/>
        <v>0</v>
      </c>
      <c r="Q397" s="144">
        <f t="shared" si="121"/>
        <v>0</v>
      </c>
      <c r="R397" s="144">
        <f t="shared" si="121"/>
        <v>0</v>
      </c>
      <c r="S397" s="144">
        <f t="shared" si="121"/>
        <v>0</v>
      </c>
      <c r="T397" s="144">
        <f t="shared" si="121"/>
        <v>0</v>
      </c>
      <c r="U397" s="144">
        <f t="shared" si="121"/>
        <v>0</v>
      </c>
      <c r="V397" s="144">
        <f t="shared" si="121"/>
        <v>0</v>
      </c>
      <c r="W397" s="144">
        <f t="shared" si="121"/>
        <v>0</v>
      </c>
      <c r="X397" s="144">
        <f t="shared" si="121"/>
        <v>0</v>
      </c>
      <c r="Y397" s="144">
        <f t="shared" si="121"/>
        <v>1050000</v>
      </c>
      <c r="Z397" s="144">
        <f t="shared" si="121"/>
        <v>874479.34999999986</v>
      </c>
      <c r="AA397" s="144">
        <f t="shared" si="121"/>
        <v>0</v>
      </c>
      <c r="AB397" s="146" t="s">
        <v>422</v>
      </c>
      <c r="AC397" s="146" t="s">
        <v>422</v>
      </c>
      <c r="AD397" s="146" t="s">
        <v>422</v>
      </c>
    </row>
    <row r="398" spans="1:30" x14ac:dyDescent="0.3">
      <c r="A398" s="121">
        <v>1</v>
      </c>
      <c r="B398" s="148">
        <f>SUBTOTAL(9,$A$370:A398)</f>
        <v>28</v>
      </c>
      <c r="C398" s="154" t="s">
        <v>163</v>
      </c>
      <c r="D398" s="163" t="s">
        <v>168</v>
      </c>
      <c r="E398" s="144">
        <f t="shared" ref="E398:E402" si="122">F398+G398+H398+I398+J398+K398+M398+O398+Q398+S398+U398+V398+W398+X398+Z398+AA398+Y398</f>
        <v>22410887.949999999</v>
      </c>
      <c r="F398" s="153">
        <v>0</v>
      </c>
      <c r="G398" s="153">
        <v>0</v>
      </c>
      <c r="H398" s="153">
        <v>0</v>
      </c>
      <c r="I398" s="153">
        <v>0</v>
      </c>
      <c r="J398" s="153">
        <v>0</v>
      </c>
      <c r="K398" s="153">
        <v>0</v>
      </c>
      <c r="L398" s="173">
        <v>0</v>
      </c>
      <c r="M398" s="153">
        <v>0</v>
      </c>
      <c r="N398" s="153">
        <v>1765.4</v>
      </c>
      <c r="O398" s="153">
        <v>21833387.140000001</v>
      </c>
      <c r="P398" s="160">
        <v>0</v>
      </c>
      <c r="Q398" s="160">
        <v>0</v>
      </c>
      <c r="R398" s="160">
        <v>0</v>
      </c>
      <c r="S398" s="160">
        <v>0</v>
      </c>
      <c r="T398" s="160">
        <v>0</v>
      </c>
      <c r="U398" s="160">
        <v>0</v>
      </c>
      <c r="V398" s="160">
        <v>0</v>
      </c>
      <c r="W398" s="160">
        <v>0</v>
      </c>
      <c r="X398" s="160">
        <v>0</v>
      </c>
      <c r="Y398" s="160">
        <v>250000</v>
      </c>
      <c r="Z398" s="160">
        <f t="shared" ref="Z398:Z402" si="123">ROUND(O398*1.5%,2)</f>
        <v>327500.81</v>
      </c>
      <c r="AA398" s="160">
        <v>0</v>
      </c>
      <c r="AB398" s="150">
        <v>2028</v>
      </c>
      <c r="AC398" s="150">
        <v>2028</v>
      </c>
      <c r="AD398" s="150">
        <v>2028</v>
      </c>
    </row>
    <row r="399" spans="1:30" x14ac:dyDescent="0.3">
      <c r="A399" s="121">
        <v>1</v>
      </c>
      <c r="B399" s="148">
        <f>SUBTOTAL(9,$A$370:A399)</f>
        <v>29</v>
      </c>
      <c r="C399" s="154" t="s">
        <v>164</v>
      </c>
      <c r="D399" s="163" t="s">
        <v>168</v>
      </c>
      <c r="E399" s="144">
        <f t="shared" si="122"/>
        <v>5179360.0799999991</v>
      </c>
      <c r="F399" s="153">
        <v>0</v>
      </c>
      <c r="G399" s="153">
        <v>0</v>
      </c>
      <c r="H399" s="153">
        <v>0</v>
      </c>
      <c r="I399" s="153">
        <v>0</v>
      </c>
      <c r="J399" s="153">
        <v>0</v>
      </c>
      <c r="K399" s="153">
        <v>0</v>
      </c>
      <c r="L399" s="173">
        <v>0</v>
      </c>
      <c r="M399" s="153">
        <v>0</v>
      </c>
      <c r="N399" s="153">
        <v>408</v>
      </c>
      <c r="O399" s="153">
        <v>4955034.5599999996</v>
      </c>
      <c r="P399" s="160">
        <v>0</v>
      </c>
      <c r="Q399" s="160">
        <v>0</v>
      </c>
      <c r="R399" s="160">
        <v>0</v>
      </c>
      <c r="S399" s="160">
        <v>0</v>
      </c>
      <c r="T399" s="160">
        <v>0</v>
      </c>
      <c r="U399" s="160">
        <v>0</v>
      </c>
      <c r="V399" s="160">
        <v>0</v>
      </c>
      <c r="W399" s="160">
        <v>0</v>
      </c>
      <c r="X399" s="160">
        <v>0</v>
      </c>
      <c r="Y399" s="160">
        <v>150000</v>
      </c>
      <c r="Z399" s="160">
        <f t="shared" si="123"/>
        <v>74325.52</v>
      </c>
      <c r="AA399" s="160">
        <v>0</v>
      </c>
      <c r="AB399" s="150">
        <v>2028</v>
      </c>
      <c r="AC399" s="150">
        <v>2028</v>
      </c>
      <c r="AD399" s="150">
        <v>2028</v>
      </c>
    </row>
    <row r="400" spans="1:30" x14ac:dyDescent="0.3">
      <c r="A400" s="121">
        <v>1</v>
      </c>
      <c r="B400" s="148">
        <f>SUBTOTAL(9,$A$370:A400)</f>
        <v>30</v>
      </c>
      <c r="C400" s="154" t="s">
        <v>165</v>
      </c>
      <c r="D400" s="163" t="s">
        <v>168</v>
      </c>
      <c r="E400" s="144">
        <f t="shared" si="122"/>
        <v>5462447.6500000004</v>
      </c>
      <c r="F400" s="153">
        <v>0</v>
      </c>
      <c r="G400" s="153">
        <v>0</v>
      </c>
      <c r="H400" s="153">
        <v>0</v>
      </c>
      <c r="I400" s="153">
        <v>0</v>
      </c>
      <c r="J400" s="153">
        <v>0</v>
      </c>
      <c r="K400" s="153">
        <v>0</v>
      </c>
      <c r="L400" s="173">
        <v>0</v>
      </c>
      <c r="M400" s="153">
        <v>0</v>
      </c>
      <c r="N400" s="153">
        <v>430.3</v>
      </c>
      <c r="O400" s="153">
        <v>5184677.49</v>
      </c>
      <c r="P400" s="160">
        <v>0</v>
      </c>
      <c r="Q400" s="160">
        <v>0</v>
      </c>
      <c r="R400" s="160">
        <v>0</v>
      </c>
      <c r="S400" s="160">
        <v>0</v>
      </c>
      <c r="T400" s="160">
        <v>0</v>
      </c>
      <c r="U400" s="160">
        <v>0</v>
      </c>
      <c r="V400" s="160">
        <v>0</v>
      </c>
      <c r="W400" s="160">
        <v>0</v>
      </c>
      <c r="X400" s="160">
        <v>0</v>
      </c>
      <c r="Y400" s="160">
        <v>200000</v>
      </c>
      <c r="Z400" s="160">
        <f t="shared" si="123"/>
        <v>77770.16</v>
      </c>
      <c r="AA400" s="160">
        <v>0</v>
      </c>
      <c r="AB400" s="150">
        <v>2028</v>
      </c>
      <c r="AC400" s="150">
        <v>2028</v>
      </c>
      <c r="AD400" s="150">
        <v>2028</v>
      </c>
    </row>
    <row r="401" spans="1:30" x14ac:dyDescent="0.3">
      <c r="A401" s="121">
        <v>1</v>
      </c>
      <c r="B401" s="148">
        <f>SUBTOTAL(9,$A$370:A401)</f>
        <v>31</v>
      </c>
      <c r="C401" s="154" t="s">
        <v>166</v>
      </c>
      <c r="D401" s="163" t="s">
        <v>168</v>
      </c>
      <c r="E401" s="144">
        <f t="shared" si="122"/>
        <v>10887319.560000001</v>
      </c>
      <c r="F401" s="153">
        <v>0</v>
      </c>
      <c r="G401" s="153">
        <v>0</v>
      </c>
      <c r="H401" s="153">
        <v>0</v>
      </c>
      <c r="I401" s="153">
        <v>0</v>
      </c>
      <c r="J401" s="153">
        <v>0</v>
      </c>
      <c r="K401" s="153">
        <v>0</v>
      </c>
      <c r="L401" s="173">
        <v>0</v>
      </c>
      <c r="M401" s="153">
        <v>0</v>
      </c>
      <c r="N401" s="153">
        <v>857.64</v>
      </c>
      <c r="O401" s="153">
        <v>10529378.880000001</v>
      </c>
      <c r="P401" s="160">
        <v>0</v>
      </c>
      <c r="Q401" s="160">
        <v>0</v>
      </c>
      <c r="R401" s="160">
        <v>0</v>
      </c>
      <c r="S401" s="160">
        <v>0</v>
      </c>
      <c r="T401" s="160">
        <v>0</v>
      </c>
      <c r="U401" s="160">
        <v>0</v>
      </c>
      <c r="V401" s="160">
        <v>0</v>
      </c>
      <c r="W401" s="160">
        <v>0</v>
      </c>
      <c r="X401" s="160">
        <v>0</v>
      </c>
      <c r="Y401" s="160">
        <v>200000</v>
      </c>
      <c r="Z401" s="160">
        <f t="shared" si="123"/>
        <v>157940.68</v>
      </c>
      <c r="AA401" s="160">
        <v>0</v>
      </c>
      <c r="AB401" s="150">
        <v>2028</v>
      </c>
      <c r="AC401" s="150">
        <v>2028</v>
      </c>
      <c r="AD401" s="150">
        <v>2028</v>
      </c>
    </row>
    <row r="402" spans="1:30" x14ac:dyDescent="0.3">
      <c r="A402" s="121">
        <v>1</v>
      </c>
      <c r="B402" s="148">
        <f>SUBTOTAL(9,$A$370:A402)</f>
        <v>32</v>
      </c>
      <c r="C402" s="154" t="s">
        <v>167</v>
      </c>
      <c r="D402" s="163" t="s">
        <v>168</v>
      </c>
      <c r="E402" s="144">
        <f t="shared" si="122"/>
        <v>16283087.65</v>
      </c>
      <c r="F402" s="153">
        <v>0</v>
      </c>
      <c r="G402" s="153">
        <v>0</v>
      </c>
      <c r="H402" s="153">
        <v>0</v>
      </c>
      <c r="I402" s="153">
        <v>0</v>
      </c>
      <c r="J402" s="153">
        <v>0</v>
      </c>
      <c r="K402" s="153">
        <v>0</v>
      </c>
      <c r="L402" s="173">
        <v>0</v>
      </c>
      <c r="M402" s="153">
        <v>0</v>
      </c>
      <c r="N402" s="153">
        <v>1259</v>
      </c>
      <c r="O402" s="153">
        <v>15796145.470000001</v>
      </c>
      <c r="P402" s="160">
        <v>0</v>
      </c>
      <c r="Q402" s="160">
        <v>0</v>
      </c>
      <c r="R402" s="160">
        <v>0</v>
      </c>
      <c r="S402" s="160">
        <v>0</v>
      </c>
      <c r="T402" s="160">
        <v>0</v>
      </c>
      <c r="U402" s="160">
        <v>0</v>
      </c>
      <c r="V402" s="160">
        <v>0</v>
      </c>
      <c r="W402" s="160">
        <v>0</v>
      </c>
      <c r="X402" s="160">
        <v>0</v>
      </c>
      <c r="Y402" s="160">
        <v>250000</v>
      </c>
      <c r="Z402" s="160">
        <f t="shared" si="123"/>
        <v>236942.18</v>
      </c>
      <c r="AA402" s="160">
        <v>0</v>
      </c>
      <c r="AB402" s="150">
        <v>2028</v>
      </c>
      <c r="AC402" s="150">
        <v>2028</v>
      </c>
      <c r="AD402" s="150">
        <v>2028</v>
      </c>
    </row>
    <row r="403" spans="1:30" x14ac:dyDescent="0.3">
      <c r="B403" s="141" t="s">
        <v>414</v>
      </c>
      <c r="C403" s="142"/>
      <c r="D403" s="143"/>
      <c r="E403" s="144">
        <f t="shared" ref="E403:AA403" si="124">SUM(E404:E416)</f>
        <v>176719887.50999999</v>
      </c>
      <c r="F403" s="144">
        <f t="shared" si="124"/>
        <v>0</v>
      </c>
      <c r="G403" s="144">
        <f t="shared" si="124"/>
        <v>0</v>
      </c>
      <c r="H403" s="144">
        <f t="shared" si="124"/>
        <v>1641243.74</v>
      </c>
      <c r="I403" s="144">
        <f t="shared" si="124"/>
        <v>0</v>
      </c>
      <c r="J403" s="144">
        <f t="shared" si="124"/>
        <v>0</v>
      </c>
      <c r="K403" s="144">
        <f t="shared" si="124"/>
        <v>0</v>
      </c>
      <c r="L403" s="145">
        <f t="shared" si="124"/>
        <v>0</v>
      </c>
      <c r="M403" s="144">
        <f t="shared" si="124"/>
        <v>0</v>
      </c>
      <c r="N403" s="144">
        <f t="shared" si="124"/>
        <v>12418.7</v>
      </c>
      <c r="O403" s="144">
        <f t="shared" si="124"/>
        <v>169787216.87</v>
      </c>
      <c r="P403" s="144">
        <f t="shared" si="124"/>
        <v>0</v>
      </c>
      <c r="Q403" s="144">
        <f t="shared" si="124"/>
        <v>0</v>
      </c>
      <c r="R403" s="144">
        <f t="shared" si="124"/>
        <v>0</v>
      </c>
      <c r="S403" s="144">
        <f t="shared" si="124"/>
        <v>0</v>
      </c>
      <c r="T403" s="144">
        <f t="shared" si="124"/>
        <v>0</v>
      </c>
      <c r="U403" s="144">
        <f t="shared" si="124"/>
        <v>0</v>
      </c>
      <c r="V403" s="144">
        <f t="shared" si="124"/>
        <v>0</v>
      </c>
      <c r="W403" s="144">
        <f t="shared" si="124"/>
        <v>0</v>
      </c>
      <c r="X403" s="144">
        <f t="shared" si="124"/>
        <v>0</v>
      </c>
      <c r="Y403" s="144">
        <f t="shared" si="124"/>
        <v>2600000</v>
      </c>
      <c r="Z403" s="144">
        <f t="shared" si="124"/>
        <v>2571426.9000000004</v>
      </c>
      <c r="AA403" s="144">
        <f t="shared" si="124"/>
        <v>120000</v>
      </c>
      <c r="AB403" s="146" t="s">
        <v>422</v>
      </c>
      <c r="AC403" s="146" t="s">
        <v>422</v>
      </c>
      <c r="AD403" s="146" t="s">
        <v>422</v>
      </c>
    </row>
    <row r="404" spans="1:30" x14ac:dyDescent="0.3">
      <c r="A404" s="121">
        <v>1</v>
      </c>
      <c r="B404" s="148">
        <f>SUBTOTAL(9,$A$370:A404)</f>
        <v>33</v>
      </c>
      <c r="C404" s="154" t="s">
        <v>139</v>
      </c>
      <c r="D404" s="163" t="s">
        <v>152</v>
      </c>
      <c r="E404" s="144">
        <f>F404+G404+H404+I404+J404+K404+M404+O404+Q404+S404+U404+V404+W404+X404+Z404+AA404+Y404</f>
        <v>10395863.940000001</v>
      </c>
      <c r="F404" s="160">
        <v>0</v>
      </c>
      <c r="G404" s="160">
        <v>0</v>
      </c>
      <c r="H404" s="160">
        <v>0</v>
      </c>
      <c r="I404" s="160">
        <v>0</v>
      </c>
      <c r="J404" s="160">
        <v>0</v>
      </c>
      <c r="K404" s="160">
        <v>0</v>
      </c>
      <c r="L404" s="162">
        <v>0</v>
      </c>
      <c r="M404" s="160">
        <v>0</v>
      </c>
      <c r="N404" s="153">
        <v>578.70000000000005</v>
      </c>
      <c r="O404" s="153">
        <v>9976220.6300000008</v>
      </c>
      <c r="P404" s="160">
        <v>0</v>
      </c>
      <c r="Q404" s="160">
        <v>0</v>
      </c>
      <c r="R404" s="160">
        <v>0</v>
      </c>
      <c r="S404" s="160">
        <v>0</v>
      </c>
      <c r="T404" s="160">
        <v>0</v>
      </c>
      <c r="U404" s="160">
        <v>0</v>
      </c>
      <c r="V404" s="160">
        <v>0</v>
      </c>
      <c r="W404" s="160">
        <v>0</v>
      </c>
      <c r="X404" s="160">
        <v>0</v>
      </c>
      <c r="Y404" s="160">
        <v>150000</v>
      </c>
      <c r="Z404" s="160">
        <f>ROUND(O404*1.5%,2)</f>
        <v>149643.31</v>
      </c>
      <c r="AA404" s="160">
        <v>120000</v>
      </c>
      <c r="AB404" s="150">
        <v>2028</v>
      </c>
      <c r="AC404" s="150">
        <v>2028</v>
      </c>
      <c r="AD404" s="150">
        <v>2028</v>
      </c>
    </row>
    <row r="405" spans="1:30" x14ac:dyDescent="0.3">
      <c r="A405" s="121">
        <v>1</v>
      </c>
      <c r="B405" s="148">
        <f>SUBTOTAL(9,$A$370:A405)</f>
        <v>34</v>
      </c>
      <c r="C405" s="154" t="s">
        <v>140</v>
      </c>
      <c r="D405" s="163" t="s">
        <v>152</v>
      </c>
      <c r="E405" s="144">
        <f t="shared" ref="E405:E416" si="125">F405+G405+H405+I405+J405+K405+M405+O405+Q405+S405+U405+V405+W405+X405+Z405+AA405+Y405</f>
        <v>14573297.48</v>
      </c>
      <c r="F405" s="160">
        <v>0</v>
      </c>
      <c r="G405" s="160">
        <v>0</v>
      </c>
      <c r="H405" s="160">
        <v>0</v>
      </c>
      <c r="I405" s="160">
        <v>0</v>
      </c>
      <c r="J405" s="160">
        <v>0</v>
      </c>
      <c r="K405" s="160">
        <v>0</v>
      </c>
      <c r="L405" s="162">
        <v>0</v>
      </c>
      <c r="M405" s="160">
        <v>0</v>
      </c>
      <c r="N405" s="153">
        <v>1148</v>
      </c>
      <c r="O405" s="153">
        <v>14160884.220000001</v>
      </c>
      <c r="P405" s="160">
        <v>0</v>
      </c>
      <c r="Q405" s="160">
        <v>0</v>
      </c>
      <c r="R405" s="160">
        <v>0</v>
      </c>
      <c r="S405" s="160">
        <v>0</v>
      </c>
      <c r="T405" s="160">
        <v>0</v>
      </c>
      <c r="U405" s="160">
        <v>0</v>
      </c>
      <c r="V405" s="160">
        <v>0</v>
      </c>
      <c r="W405" s="160">
        <v>0</v>
      </c>
      <c r="X405" s="160">
        <v>0</v>
      </c>
      <c r="Y405" s="160">
        <v>200000</v>
      </c>
      <c r="Z405" s="160">
        <f t="shared" ref="Z405:Z416" si="126">ROUND(O405*1.5%,2)</f>
        <v>212413.26</v>
      </c>
      <c r="AA405" s="160">
        <v>0</v>
      </c>
      <c r="AB405" s="150">
        <v>2028</v>
      </c>
      <c r="AC405" s="150">
        <v>2028</v>
      </c>
      <c r="AD405" s="150">
        <v>2028</v>
      </c>
    </row>
    <row r="406" spans="1:30" x14ac:dyDescent="0.3">
      <c r="A406" s="121">
        <v>1</v>
      </c>
      <c r="B406" s="148">
        <f>SUBTOTAL(9,$A$370:A406)</f>
        <v>35</v>
      </c>
      <c r="C406" s="154" t="s">
        <v>141</v>
      </c>
      <c r="D406" s="163" t="s">
        <v>152</v>
      </c>
      <c r="E406" s="144">
        <f t="shared" si="125"/>
        <v>1815862.4</v>
      </c>
      <c r="F406" s="160">
        <v>0</v>
      </c>
      <c r="G406" s="160">
        <v>0</v>
      </c>
      <c r="H406" s="151">
        <v>1641243.74</v>
      </c>
      <c r="I406" s="160">
        <v>0</v>
      </c>
      <c r="J406" s="160">
        <v>0</v>
      </c>
      <c r="K406" s="160">
        <v>0</v>
      </c>
      <c r="L406" s="162">
        <v>0</v>
      </c>
      <c r="M406" s="160">
        <v>0</v>
      </c>
      <c r="N406" s="153">
        <v>0</v>
      </c>
      <c r="O406" s="153">
        <v>0</v>
      </c>
      <c r="P406" s="160">
        <v>0</v>
      </c>
      <c r="Q406" s="160">
        <v>0</v>
      </c>
      <c r="R406" s="160">
        <v>0</v>
      </c>
      <c r="S406" s="160">
        <v>0</v>
      </c>
      <c r="T406" s="160">
        <v>0</v>
      </c>
      <c r="U406" s="160">
        <v>0</v>
      </c>
      <c r="V406" s="160">
        <v>0</v>
      </c>
      <c r="W406" s="160">
        <v>0</v>
      </c>
      <c r="X406" s="160">
        <v>0</v>
      </c>
      <c r="Y406" s="160">
        <v>150000</v>
      </c>
      <c r="Z406" s="160">
        <f>ROUND(H406*1.5%,2)</f>
        <v>24618.66</v>
      </c>
      <c r="AA406" s="160">
        <v>0</v>
      </c>
      <c r="AB406" s="150">
        <v>2028</v>
      </c>
      <c r="AC406" s="150">
        <v>2028</v>
      </c>
      <c r="AD406" s="150">
        <v>2028</v>
      </c>
    </row>
    <row r="407" spans="1:30" x14ac:dyDescent="0.3">
      <c r="A407" s="121">
        <v>1</v>
      </c>
      <c r="B407" s="148">
        <f>SUBTOTAL(9,$A$370:A407)</f>
        <v>36</v>
      </c>
      <c r="C407" s="154" t="s">
        <v>142</v>
      </c>
      <c r="D407" s="163" t="s">
        <v>152</v>
      </c>
      <c r="E407" s="144">
        <f t="shared" si="125"/>
        <v>13963961</v>
      </c>
      <c r="F407" s="160">
        <v>0</v>
      </c>
      <c r="G407" s="160">
        <v>0</v>
      </c>
      <c r="H407" s="160">
        <v>0</v>
      </c>
      <c r="I407" s="160">
        <v>0</v>
      </c>
      <c r="J407" s="160">
        <v>0</v>
      </c>
      <c r="K407" s="160">
        <v>0</v>
      </c>
      <c r="L407" s="162">
        <v>0</v>
      </c>
      <c r="M407" s="160">
        <v>0</v>
      </c>
      <c r="N407" s="153">
        <v>1100</v>
      </c>
      <c r="O407" s="153">
        <v>13560552.710000001</v>
      </c>
      <c r="P407" s="160">
        <v>0</v>
      </c>
      <c r="Q407" s="160">
        <v>0</v>
      </c>
      <c r="R407" s="160">
        <v>0</v>
      </c>
      <c r="S407" s="160">
        <v>0</v>
      </c>
      <c r="T407" s="160">
        <v>0</v>
      </c>
      <c r="U407" s="160">
        <v>0</v>
      </c>
      <c r="V407" s="160">
        <v>0</v>
      </c>
      <c r="W407" s="160">
        <v>0</v>
      </c>
      <c r="X407" s="160">
        <v>0</v>
      </c>
      <c r="Y407" s="160">
        <v>200000</v>
      </c>
      <c r="Z407" s="160">
        <f t="shared" si="126"/>
        <v>203408.29</v>
      </c>
      <c r="AA407" s="160">
        <v>0</v>
      </c>
      <c r="AB407" s="150">
        <v>2028</v>
      </c>
      <c r="AC407" s="150">
        <v>2028</v>
      </c>
      <c r="AD407" s="150">
        <v>2028</v>
      </c>
    </row>
    <row r="408" spans="1:30" x14ac:dyDescent="0.3">
      <c r="A408" s="121">
        <v>1</v>
      </c>
      <c r="B408" s="148">
        <f>SUBTOTAL(9,$A$370:A408)</f>
        <v>37</v>
      </c>
      <c r="C408" s="154" t="s">
        <v>143</v>
      </c>
      <c r="D408" s="163" t="s">
        <v>152</v>
      </c>
      <c r="E408" s="144">
        <f t="shared" si="125"/>
        <v>24957255.399999999</v>
      </c>
      <c r="F408" s="160">
        <v>0</v>
      </c>
      <c r="G408" s="160">
        <v>0</v>
      </c>
      <c r="H408" s="160">
        <v>0</v>
      </c>
      <c r="I408" s="160">
        <v>0</v>
      </c>
      <c r="J408" s="160">
        <v>0</v>
      </c>
      <c r="K408" s="160">
        <v>0</v>
      </c>
      <c r="L408" s="162">
        <v>0</v>
      </c>
      <c r="M408" s="160">
        <v>0</v>
      </c>
      <c r="N408" s="153">
        <v>1390</v>
      </c>
      <c r="O408" s="153">
        <v>24391384.629999999</v>
      </c>
      <c r="P408" s="160">
        <v>0</v>
      </c>
      <c r="Q408" s="160">
        <v>0</v>
      </c>
      <c r="R408" s="160">
        <v>0</v>
      </c>
      <c r="S408" s="160">
        <v>0</v>
      </c>
      <c r="T408" s="160">
        <v>0</v>
      </c>
      <c r="U408" s="160">
        <v>0</v>
      </c>
      <c r="V408" s="160">
        <v>0</v>
      </c>
      <c r="W408" s="160">
        <v>0</v>
      </c>
      <c r="X408" s="160">
        <v>0</v>
      </c>
      <c r="Y408" s="160">
        <v>200000</v>
      </c>
      <c r="Z408" s="160">
        <f t="shared" si="126"/>
        <v>365870.77</v>
      </c>
      <c r="AA408" s="160">
        <v>0</v>
      </c>
      <c r="AB408" s="150">
        <v>2028</v>
      </c>
      <c r="AC408" s="150">
        <v>2028</v>
      </c>
      <c r="AD408" s="150">
        <v>2028</v>
      </c>
    </row>
    <row r="409" spans="1:30" x14ac:dyDescent="0.3">
      <c r="A409" s="121">
        <v>1</v>
      </c>
      <c r="B409" s="148">
        <f>SUBTOTAL(9,$A$370:A409)</f>
        <v>38</v>
      </c>
      <c r="C409" s="154" t="s">
        <v>144</v>
      </c>
      <c r="D409" s="163" t="s">
        <v>152</v>
      </c>
      <c r="E409" s="144">
        <f t="shared" si="125"/>
        <v>12105615.6</v>
      </c>
      <c r="F409" s="160">
        <v>0</v>
      </c>
      <c r="G409" s="160">
        <v>0</v>
      </c>
      <c r="H409" s="160">
        <v>0</v>
      </c>
      <c r="I409" s="160">
        <v>0</v>
      </c>
      <c r="J409" s="160">
        <v>0</v>
      </c>
      <c r="K409" s="160">
        <v>0</v>
      </c>
      <c r="L409" s="162">
        <v>0</v>
      </c>
      <c r="M409" s="160">
        <v>0</v>
      </c>
      <c r="N409" s="153">
        <v>936</v>
      </c>
      <c r="O409" s="153">
        <v>11729670.539999999</v>
      </c>
      <c r="P409" s="160">
        <v>0</v>
      </c>
      <c r="Q409" s="160">
        <v>0</v>
      </c>
      <c r="R409" s="160">
        <v>0</v>
      </c>
      <c r="S409" s="160">
        <v>0</v>
      </c>
      <c r="T409" s="160">
        <v>0</v>
      </c>
      <c r="U409" s="160">
        <v>0</v>
      </c>
      <c r="V409" s="160">
        <v>0</v>
      </c>
      <c r="W409" s="160">
        <v>0</v>
      </c>
      <c r="X409" s="160">
        <v>0</v>
      </c>
      <c r="Y409" s="160">
        <v>200000</v>
      </c>
      <c r="Z409" s="160">
        <f t="shared" si="126"/>
        <v>175945.06</v>
      </c>
      <c r="AA409" s="160">
        <v>0</v>
      </c>
      <c r="AB409" s="150">
        <v>2028</v>
      </c>
      <c r="AC409" s="150">
        <v>2028</v>
      </c>
      <c r="AD409" s="150">
        <v>2028</v>
      </c>
    </row>
    <row r="410" spans="1:30" x14ac:dyDescent="0.3">
      <c r="A410" s="121">
        <v>1</v>
      </c>
      <c r="B410" s="148">
        <f>SUBTOTAL(9,$A$370:A410)</f>
        <v>39</v>
      </c>
      <c r="C410" s="154" t="s">
        <v>145</v>
      </c>
      <c r="D410" s="163" t="s">
        <v>152</v>
      </c>
      <c r="E410" s="144">
        <f t="shared" si="125"/>
        <v>7515149.9199999999</v>
      </c>
      <c r="F410" s="160">
        <v>0</v>
      </c>
      <c r="G410" s="160">
        <v>0</v>
      </c>
      <c r="H410" s="160">
        <v>0</v>
      </c>
      <c r="I410" s="160">
        <v>0</v>
      </c>
      <c r="J410" s="160">
        <v>0</v>
      </c>
      <c r="K410" s="160">
        <v>0</v>
      </c>
      <c r="L410" s="162">
        <v>0</v>
      </c>
      <c r="M410" s="160">
        <v>0</v>
      </c>
      <c r="N410" s="153">
        <v>592</v>
      </c>
      <c r="O410" s="153">
        <v>7207044.2599999998</v>
      </c>
      <c r="P410" s="160">
        <v>0</v>
      </c>
      <c r="Q410" s="160">
        <v>0</v>
      </c>
      <c r="R410" s="160">
        <v>0</v>
      </c>
      <c r="S410" s="160">
        <v>0</v>
      </c>
      <c r="T410" s="160">
        <v>0</v>
      </c>
      <c r="U410" s="160">
        <v>0</v>
      </c>
      <c r="V410" s="160">
        <v>0</v>
      </c>
      <c r="W410" s="160">
        <v>0</v>
      </c>
      <c r="X410" s="160">
        <v>0</v>
      </c>
      <c r="Y410" s="160">
        <v>200000</v>
      </c>
      <c r="Z410" s="160">
        <f t="shared" si="126"/>
        <v>108105.66</v>
      </c>
      <c r="AA410" s="160">
        <v>0</v>
      </c>
      <c r="AB410" s="150">
        <v>2028</v>
      </c>
      <c r="AC410" s="150">
        <v>2028</v>
      </c>
      <c r="AD410" s="150">
        <v>2028</v>
      </c>
    </row>
    <row r="411" spans="1:30" x14ac:dyDescent="0.3">
      <c r="A411" s="121">
        <v>1</v>
      </c>
      <c r="B411" s="148">
        <f>SUBTOTAL(9,$A$370:A411)</f>
        <v>40</v>
      </c>
      <c r="C411" s="154" t="s">
        <v>146</v>
      </c>
      <c r="D411" s="163" t="s">
        <v>152</v>
      </c>
      <c r="E411" s="144">
        <f t="shared" si="125"/>
        <v>15525385.729999999</v>
      </c>
      <c r="F411" s="160">
        <v>0</v>
      </c>
      <c r="G411" s="160">
        <v>0</v>
      </c>
      <c r="H411" s="160">
        <v>0</v>
      </c>
      <c r="I411" s="160">
        <v>0</v>
      </c>
      <c r="J411" s="160">
        <v>0</v>
      </c>
      <c r="K411" s="160">
        <v>0</v>
      </c>
      <c r="L411" s="162">
        <v>0</v>
      </c>
      <c r="M411" s="160">
        <v>0</v>
      </c>
      <c r="N411" s="153">
        <v>1223</v>
      </c>
      <c r="O411" s="153">
        <v>15098902.199999999</v>
      </c>
      <c r="P411" s="160">
        <v>0</v>
      </c>
      <c r="Q411" s="160">
        <v>0</v>
      </c>
      <c r="R411" s="160">
        <v>0</v>
      </c>
      <c r="S411" s="160">
        <v>0</v>
      </c>
      <c r="T411" s="160">
        <v>0</v>
      </c>
      <c r="U411" s="160">
        <v>0</v>
      </c>
      <c r="V411" s="160">
        <v>0</v>
      </c>
      <c r="W411" s="160">
        <v>0</v>
      </c>
      <c r="X411" s="160">
        <v>0</v>
      </c>
      <c r="Y411" s="160">
        <v>200000</v>
      </c>
      <c r="Z411" s="160">
        <f t="shared" si="126"/>
        <v>226483.53</v>
      </c>
      <c r="AA411" s="160">
        <v>0</v>
      </c>
      <c r="AB411" s="150">
        <v>2028</v>
      </c>
      <c r="AC411" s="150">
        <v>2028</v>
      </c>
      <c r="AD411" s="150">
        <v>2028</v>
      </c>
    </row>
    <row r="412" spans="1:30" x14ac:dyDescent="0.3">
      <c r="A412" s="121">
        <v>1</v>
      </c>
      <c r="B412" s="148">
        <f>SUBTOTAL(9,$A$370:A412)</f>
        <v>41</v>
      </c>
      <c r="C412" s="154" t="s">
        <v>147</v>
      </c>
      <c r="D412" s="163" t="s">
        <v>152</v>
      </c>
      <c r="E412" s="144">
        <f t="shared" si="125"/>
        <v>6981980.5</v>
      </c>
      <c r="F412" s="160">
        <v>0</v>
      </c>
      <c r="G412" s="160">
        <v>0</v>
      </c>
      <c r="H412" s="160">
        <v>0</v>
      </c>
      <c r="I412" s="160">
        <v>0</v>
      </c>
      <c r="J412" s="160">
        <v>0</v>
      </c>
      <c r="K412" s="160">
        <v>0</v>
      </c>
      <c r="L412" s="162">
        <v>0</v>
      </c>
      <c r="M412" s="160">
        <v>0</v>
      </c>
      <c r="N412" s="153">
        <v>550</v>
      </c>
      <c r="O412" s="153">
        <v>6681754.1900000004</v>
      </c>
      <c r="P412" s="160">
        <v>0</v>
      </c>
      <c r="Q412" s="160">
        <v>0</v>
      </c>
      <c r="R412" s="160">
        <v>0</v>
      </c>
      <c r="S412" s="160">
        <v>0</v>
      </c>
      <c r="T412" s="160">
        <v>0</v>
      </c>
      <c r="U412" s="160">
        <v>0</v>
      </c>
      <c r="V412" s="160">
        <v>0</v>
      </c>
      <c r="W412" s="160">
        <v>0</v>
      </c>
      <c r="X412" s="160">
        <v>0</v>
      </c>
      <c r="Y412" s="160">
        <v>200000</v>
      </c>
      <c r="Z412" s="160">
        <f t="shared" si="126"/>
        <v>100226.31</v>
      </c>
      <c r="AA412" s="160">
        <v>0</v>
      </c>
      <c r="AB412" s="150">
        <v>2028</v>
      </c>
      <c r="AC412" s="150">
        <v>2028</v>
      </c>
      <c r="AD412" s="150">
        <v>2028</v>
      </c>
    </row>
    <row r="413" spans="1:30" x14ac:dyDescent="0.3">
      <c r="A413" s="121">
        <v>1</v>
      </c>
      <c r="B413" s="148">
        <f>SUBTOTAL(9,$A$370:A413)</f>
        <v>42</v>
      </c>
      <c r="C413" s="154" t="s">
        <v>148</v>
      </c>
      <c r="D413" s="163" t="s">
        <v>152</v>
      </c>
      <c r="E413" s="144">
        <f t="shared" si="125"/>
        <v>14560201.200000001</v>
      </c>
      <c r="F413" s="160">
        <v>0</v>
      </c>
      <c r="G413" s="160">
        <v>0</v>
      </c>
      <c r="H413" s="160">
        <v>0</v>
      </c>
      <c r="I413" s="160">
        <v>0</v>
      </c>
      <c r="J413" s="160">
        <v>0</v>
      </c>
      <c r="K413" s="160">
        <v>0</v>
      </c>
      <c r="L413" s="162">
        <v>0</v>
      </c>
      <c r="M413" s="160">
        <v>0</v>
      </c>
      <c r="N413" s="153">
        <v>1147</v>
      </c>
      <c r="O413" s="153">
        <v>14147981.48</v>
      </c>
      <c r="P413" s="160">
        <v>0</v>
      </c>
      <c r="Q413" s="160">
        <v>0</v>
      </c>
      <c r="R413" s="160">
        <v>0</v>
      </c>
      <c r="S413" s="160">
        <v>0</v>
      </c>
      <c r="T413" s="160">
        <v>0</v>
      </c>
      <c r="U413" s="160">
        <v>0</v>
      </c>
      <c r="V413" s="160">
        <v>0</v>
      </c>
      <c r="W413" s="160">
        <v>0</v>
      </c>
      <c r="X413" s="160">
        <v>0</v>
      </c>
      <c r="Y413" s="160">
        <v>200000</v>
      </c>
      <c r="Z413" s="160">
        <f t="shared" si="126"/>
        <v>212219.72</v>
      </c>
      <c r="AA413" s="160">
        <v>0</v>
      </c>
      <c r="AB413" s="150">
        <v>2028</v>
      </c>
      <c r="AC413" s="150">
        <v>2028</v>
      </c>
      <c r="AD413" s="150">
        <v>2028</v>
      </c>
    </row>
    <row r="414" spans="1:30" x14ac:dyDescent="0.3">
      <c r="A414" s="121">
        <v>1</v>
      </c>
      <c r="B414" s="148">
        <f>SUBTOTAL(9,$A$370:A414)</f>
        <v>43</v>
      </c>
      <c r="C414" s="154" t="s">
        <v>149</v>
      </c>
      <c r="D414" s="163" t="s">
        <v>152</v>
      </c>
      <c r="E414" s="144">
        <f>F414+G414+H414+I414+J414+K414+M414+O414+Q414+S414+U414+V414+W414+X414+Z414+AA414+Y414</f>
        <v>7438982.8600000003</v>
      </c>
      <c r="F414" s="160">
        <v>0</v>
      </c>
      <c r="G414" s="160">
        <v>0</v>
      </c>
      <c r="H414" s="160">
        <v>0</v>
      </c>
      <c r="I414" s="160">
        <v>0</v>
      </c>
      <c r="J414" s="160">
        <v>0</v>
      </c>
      <c r="K414" s="160">
        <v>0</v>
      </c>
      <c r="L414" s="162">
        <v>0</v>
      </c>
      <c r="M414" s="160">
        <v>0</v>
      </c>
      <c r="N414" s="153">
        <v>586</v>
      </c>
      <c r="O414" s="153">
        <v>7132002.8200000003</v>
      </c>
      <c r="P414" s="160">
        <v>0</v>
      </c>
      <c r="Q414" s="160">
        <v>0</v>
      </c>
      <c r="R414" s="160">
        <v>0</v>
      </c>
      <c r="S414" s="160">
        <v>0</v>
      </c>
      <c r="T414" s="160">
        <v>0</v>
      </c>
      <c r="U414" s="160">
        <v>0</v>
      </c>
      <c r="V414" s="160">
        <v>0</v>
      </c>
      <c r="W414" s="160">
        <v>0</v>
      </c>
      <c r="X414" s="160">
        <v>0</v>
      </c>
      <c r="Y414" s="160">
        <v>200000</v>
      </c>
      <c r="Z414" s="160">
        <f t="shared" si="126"/>
        <v>106980.04</v>
      </c>
      <c r="AA414" s="160">
        <v>0</v>
      </c>
      <c r="AB414" s="150">
        <v>2028</v>
      </c>
      <c r="AC414" s="150">
        <v>2028</v>
      </c>
      <c r="AD414" s="150">
        <v>2028</v>
      </c>
    </row>
    <row r="415" spans="1:30" x14ac:dyDescent="0.3">
      <c r="A415" s="121">
        <v>1</v>
      </c>
      <c r="B415" s="148">
        <f>SUBTOTAL(9,$A$370:A415)</f>
        <v>44</v>
      </c>
      <c r="C415" s="154" t="s">
        <v>150</v>
      </c>
      <c r="D415" s="163" t="s">
        <v>152</v>
      </c>
      <c r="E415" s="144">
        <f t="shared" si="125"/>
        <v>24119569</v>
      </c>
      <c r="F415" s="160">
        <v>0</v>
      </c>
      <c r="G415" s="160">
        <v>0</v>
      </c>
      <c r="H415" s="160">
        <v>0</v>
      </c>
      <c r="I415" s="160">
        <v>0</v>
      </c>
      <c r="J415" s="160">
        <v>0</v>
      </c>
      <c r="K415" s="160">
        <v>0</v>
      </c>
      <c r="L415" s="162">
        <v>0</v>
      </c>
      <c r="M415" s="160">
        <v>0</v>
      </c>
      <c r="N415" s="153">
        <v>1900</v>
      </c>
      <c r="O415" s="153">
        <v>23516816.75</v>
      </c>
      <c r="P415" s="160">
        <v>0</v>
      </c>
      <c r="Q415" s="160">
        <v>0</v>
      </c>
      <c r="R415" s="160">
        <v>0</v>
      </c>
      <c r="S415" s="160">
        <v>0</v>
      </c>
      <c r="T415" s="160">
        <v>0</v>
      </c>
      <c r="U415" s="160">
        <v>0</v>
      </c>
      <c r="V415" s="160">
        <v>0</v>
      </c>
      <c r="W415" s="160">
        <v>0</v>
      </c>
      <c r="X415" s="160">
        <v>0</v>
      </c>
      <c r="Y415" s="160">
        <v>250000</v>
      </c>
      <c r="Z415" s="160">
        <f t="shared" si="126"/>
        <v>352752.25</v>
      </c>
      <c r="AA415" s="160">
        <v>0</v>
      </c>
      <c r="AB415" s="150">
        <v>2028</v>
      </c>
      <c r="AC415" s="150">
        <v>2028</v>
      </c>
      <c r="AD415" s="150">
        <v>2028</v>
      </c>
    </row>
    <row r="416" spans="1:30" x14ac:dyDescent="0.3">
      <c r="A416" s="121">
        <v>1</v>
      </c>
      <c r="B416" s="148">
        <f>SUBTOTAL(9,$A$370:A416)</f>
        <v>45</v>
      </c>
      <c r="C416" s="154" t="s">
        <v>151</v>
      </c>
      <c r="D416" s="163" t="s">
        <v>152</v>
      </c>
      <c r="E416" s="144">
        <f t="shared" si="125"/>
        <v>22766762.48</v>
      </c>
      <c r="F416" s="160">
        <v>0</v>
      </c>
      <c r="G416" s="160">
        <v>0</v>
      </c>
      <c r="H416" s="160">
        <v>0</v>
      </c>
      <c r="I416" s="160">
        <v>0</v>
      </c>
      <c r="J416" s="160">
        <v>0</v>
      </c>
      <c r="K416" s="160">
        <v>0</v>
      </c>
      <c r="L416" s="162">
        <v>0</v>
      </c>
      <c r="M416" s="160">
        <v>0</v>
      </c>
      <c r="N416" s="153">
        <v>1268</v>
      </c>
      <c r="O416" s="153">
        <v>22184002.440000001</v>
      </c>
      <c r="P416" s="160">
        <v>0</v>
      </c>
      <c r="Q416" s="160">
        <v>0</v>
      </c>
      <c r="R416" s="160">
        <v>0</v>
      </c>
      <c r="S416" s="160">
        <v>0</v>
      </c>
      <c r="T416" s="160">
        <v>0</v>
      </c>
      <c r="U416" s="160">
        <v>0</v>
      </c>
      <c r="V416" s="160">
        <v>0</v>
      </c>
      <c r="W416" s="160">
        <v>0</v>
      </c>
      <c r="X416" s="160">
        <v>0</v>
      </c>
      <c r="Y416" s="160">
        <v>250000</v>
      </c>
      <c r="Z416" s="160">
        <f t="shared" si="126"/>
        <v>332760.03999999998</v>
      </c>
      <c r="AA416" s="160">
        <v>0</v>
      </c>
      <c r="AB416" s="150">
        <v>2028</v>
      </c>
      <c r="AC416" s="150">
        <v>2028</v>
      </c>
      <c r="AD416" s="150">
        <v>2028</v>
      </c>
    </row>
    <row r="417" spans="1:30" x14ac:dyDescent="0.3">
      <c r="B417" s="141" t="s">
        <v>471</v>
      </c>
      <c r="C417" s="142"/>
      <c r="D417" s="143"/>
      <c r="E417" s="144">
        <f t="shared" ref="E417:AA417" si="127">SUM(E418:E427)</f>
        <v>110376692.72</v>
      </c>
      <c r="F417" s="144">
        <f t="shared" si="127"/>
        <v>0</v>
      </c>
      <c r="G417" s="144">
        <f t="shared" si="127"/>
        <v>0</v>
      </c>
      <c r="H417" s="144">
        <f t="shared" si="127"/>
        <v>0</v>
      </c>
      <c r="I417" s="144">
        <f t="shared" si="127"/>
        <v>0</v>
      </c>
      <c r="J417" s="144">
        <f t="shared" si="127"/>
        <v>0</v>
      </c>
      <c r="K417" s="144">
        <f t="shared" si="127"/>
        <v>0</v>
      </c>
      <c r="L417" s="145">
        <f t="shared" si="127"/>
        <v>0</v>
      </c>
      <c r="M417" s="144">
        <f t="shared" si="127"/>
        <v>0</v>
      </c>
      <c r="N417" s="144">
        <f t="shared" si="127"/>
        <v>8598.4</v>
      </c>
      <c r="O417" s="144">
        <f t="shared" si="127"/>
        <v>106775066.71000001</v>
      </c>
      <c r="P417" s="144">
        <f t="shared" si="127"/>
        <v>0</v>
      </c>
      <c r="Q417" s="144">
        <f t="shared" si="127"/>
        <v>0</v>
      </c>
      <c r="R417" s="144">
        <f t="shared" si="127"/>
        <v>0</v>
      </c>
      <c r="S417" s="144">
        <f t="shared" si="127"/>
        <v>0</v>
      </c>
      <c r="T417" s="144">
        <f t="shared" si="127"/>
        <v>0</v>
      </c>
      <c r="U417" s="144">
        <f t="shared" si="127"/>
        <v>0</v>
      </c>
      <c r="V417" s="144">
        <f t="shared" si="127"/>
        <v>0</v>
      </c>
      <c r="W417" s="144">
        <f t="shared" si="127"/>
        <v>0</v>
      </c>
      <c r="X417" s="144">
        <f t="shared" si="127"/>
        <v>0</v>
      </c>
      <c r="Y417" s="144">
        <f t="shared" si="127"/>
        <v>2000000</v>
      </c>
      <c r="Z417" s="144">
        <f t="shared" si="127"/>
        <v>1601626.0100000002</v>
      </c>
      <c r="AA417" s="144">
        <f t="shared" si="127"/>
        <v>0</v>
      </c>
      <c r="AB417" s="146" t="s">
        <v>422</v>
      </c>
      <c r="AC417" s="146" t="s">
        <v>422</v>
      </c>
      <c r="AD417" s="146" t="s">
        <v>422</v>
      </c>
    </row>
    <row r="418" spans="1:30" x14ac:dyDescent="0.3">
      <c r="A418" s="121">
        <v>1</v>
      </c>
      <c r="B418" s="148">
        <f>SUBTOTAL(9,$A$370:A418)</f>
        <v>46</v>
      </c>
      <c r="C418" s="154" t="s">
        <v>392</v>
      </c>
      <c r="D418" s="163" t="s">
        <v>472</v>
      </c>
      <c r="E418" s="144">
        <f t="shared" ref="E418:E426" si="128">F418+G418+H418+I418+J418+K418+M418+O418+Q418+S418+U418+V418+W418+X418+Z418+AA418+Y418</f>
        <v>7299343.25</v>
      </c>
      <c r="F418" s="160">
        <v>0</v>
      </c>
      <c r="G418" s="160">
        <v>0</v>
      </c>
      <c r="H418" s="160">
        <v>0</v>
      </c>
      <c r="I418" s="160">
        <v>0</v>
      </c>
      <c r="J418" s="160">
        <v>0</v>
      </c>
      <c r="K418" s="160">
        <v>0</v>
      </c>
      <c r="L418" s="159">
        <v>0</v>
      </c>
      <c r="M418" s="158">
        <v>0</v>
      </c>
      <c r="N418" s="153">
        <v>575</v>
      </c>
      <c r="O418" s="153">
        <v>6994426.8499999996</v>
      </c>
      <c r="P418" s="158">
        <v>0</v>
      </c>
      <c r="Q418" s="158">
        <v>0</v>
      </c>
      <c r="R418" s="153">
        <v>0</v>
      </c>
      <c r="S418" s="153">
        <v>0</v>
      </c>
      <c r="T418" s="160">
        <v>0</v>
      </c>
      <c r="U418" s="160">
        <v>0</v>
      </c>
      <c r="V418" s="160">
        <v>0</v>
      </c>
      <c r="W418" s="160">
        <v>0</v>
      </c>
      <c r="X418" s="160">
        <v>0</v>
      </c>
      <c r="Y418" s="160">
        <v>200000</v>
      </c>
      <c r="Z418" s="160">
        <f t="shared" ref="Z418:Z426" si="129">ROUND(O418*1.5%,2)</f>
        <v>104916.4</v>
      </c>
      <c r="AA418" s="160">
        <v>0</v>
      </c>
      <c r="AB418" s="150">
        <v>2028</v>
      </c>
      <c r="AC418" s="150">
        <v>2028</v>
      </c>
      <c r="AD418" s="150">
        <v>2028</v>
      </c>
    </row>
    <row r="419" spans="1:30" x14ac:dyDescent="0.3">
      <c r="A419" s="121">
        <v>1</v>
      </c>
      <c r="B419" s="148">
        <f>SUBTOTAL(9,$A$370:A419)</f>
        <v>47</v>
      </c>
      <c r="C419" s="154" t="s">
        <v>386</v>
      </c>
      <c r="D419" s="163" t="s">
        <v>472</v>
      </c>
      <c r="E419" s="144">
        <f t="shared" si="128"/>
        <v>10663388.399999999</v>
      </c>
      <c r="F419" s="160">
        <v>0</v>
      </c>
      <c r="G419" s="160">
        <v>0</v>
      </c>
      <c r="H419" s="160">
        <v>0</v>
      </c>
      <c r="I419" s="160">
        <v>0</v>
      </c>
      <c r="J419" s="160">
        <v>0</v>
      </c>
      <c r="K419" s="160">
        <v>0</v>
      </c>
      <c r="L419" s="159">
        <v>0</v>
      </c>
      <c r="M419" s="158">
        <v>0</v>
      </c>
      <c r="N419" s="153">
        <v>840</v>
      </c>
      <c r="O419" s="153">
        <v>10308757.039999999</v>
      </c>
      <c r="P419" s="158">
        <v>0</v>
      </c>
      <c r="Q419" s="158">
        <v>0</v>
      </c>
      <c r="R419" s="153">
        <v>0</v>
      </c>
      <c r="S419" s="153">
        <v>0</v>
      </c>
      <c r="T419" s="160">
        <v>0</v>
      </c>
      <c r="U419" s="160">
        <v>0</v>
      </c>
      <c r="V419" s="160">
        <v>0</v>
      </c>
      <c r="W419" s="160">
        <v>0</v>
      </c>
      <c r="X419" s="160">
        <v>0</v>
      </c>
      <c r="Y419" s="160">
        <v>200000</v>
      </c>
      <c r="Z419" s="160">
        <f t="shared" si="129"/>
        <v>154631.35999999999</v>
      </c>
      <c r="AA419" s="160">
        <v>0</v>
      </c>
      <c r="AB419" s="150">
        <v>2028</v>
      </c>
      <c r="AC419" s="150">
        <v>2028</v>
      </c>
      <c r="AD419" s="150">
        <v>2028</v>
      </c>
    </row>
    <row r="420" spans="1:30" x14ac:dyDescent="0.3">
      <c r="A420" s="121">
        <v>1</v>
      </c>
      <c r="B420" s="148">
        <f>SUBTOTAL(9,$A$370:A420)</f>
        <v>48</v>
      </c>
      <c r="C420" s="154" t="s">
        <v>400</v>
      </c>
      <c r="D420" s="163" t="s">
        <v>472</v>
      </c>
      <c r="E420" s="144">
        <f t="shared" si="128"/>
        <v>9842279.3499999996</v>
      </c>
      <c r="F420" s="160">
        <v>0</v>
      </c>
      <c r="G420" s="160">
        <v>0</v>
      </c>
      <c r="H420" s="160">
        <v>0</v>
      </c>
      <c r="I420" s="160">
        <v>0</v>
      </c>
      <c r="J420" s="160">
        <v>0</v>
      </c>
      <c r="K420" s="160">
        <v>0</v>
      </c>
      <c r="L420" s="159">
        <v>0</v>
      </c>
      <c r="M420" s="158">
        <v>0</v>
      </c>
      <c r="N420" s="153">
        <v>761</v>
      </c>
      <c r="O420" s="153">
        <v>9549043.6899999995</v>
      </c>
      <c r="P420" s="158">
        <v>0</v>
      </c>
      <c r="Q420" s="158">
        <v>0</v>
      </c>
      <c r="R420" s="158">
        <v>0</v>
      </c>
      <c r="S420" s="158">
        <v>0</v>
      </c>
      <c r="T420" s="160">
        <v>0</v>
      </c>
      <c r="U420" s="160">
        <v>0</v>
      </c>
      <c r="V420" s="160">
        <v>0</v>
      </c>
      <c r="W420" s="160">
        <v>0</v>
      </c>
      <c r="X420" s="160">
        <v>0</v>
      </c>
      <c r="Y420" s="160">
        <v>150000</v>
      </c>
      <c r="Z420" s="160">
        <f t="shared" si="129"/>
        <v>143235.66</v>
      </c>
      <c r="AA420" s="160">
        <v>0</v>
      </c>
      <c r="AB420" s="150">
        <v>2028</v>
      </c>
      <c r="AC420" s="150">
        <v>2028</v>
      </c>
      <c r="AD420" s="150">
        <v>2028</v>
      </c>
    </row>
    <row r="421" spans="1:30" x14ac:dyDescent="0.3">
      <c r="A421" s="121">
        <v>1</v>
      </c>
      <c r="B421" s="148">
        <f>SUBTOTAL(9,$A$370:A421)</f>
        <v>49</v>
      </c>
      <c r="C421" s="154" t="s">
        <v>409</v>
      </c>
      <c r="D421" s="163" t="s">
        <v>472</v>
      </c>
      <c r="E421" s="144">
        <f t="shared" si="128"/>
        <v>12082923.319999998</v>
      </c>
      <c r="F421" s="160">
        <v>0</v>
      </c>
      <c r="G421" s="160">
        <v>0</v>
      </c>
      <c r="H421" s="160">
        <v>0</v>
      </c>
      <c r="I421" s="160">
        <v>0</v>
      </c>
      <c r="J421" s="160">
        <v>0</v>
      </c>
      <c r="K421" s="160">
        <v>0</v>
      </c>
      <c r="L421" s="159">
        <v>0</v>
      </c>
      <c r="M421" s="158">
        <v>0</v>
      </c>
      <c r="N421" s="153">
        <v>932</v>
      </c>
      <c r="O421" s="153">
        <v>11707313.619999999</v>
      </c>
      <c r="P421" s="158">
        <v>0</v>
      </c>
      <c r="Q421" s="158">
        <v>0</v>
      </c>
      <c r="R421" s="158">
        <v>0</v>
      </c>
      <c r="S421" s="158">
        <v>0</v>
      </c>
      <c r="T421" s="160">
        <v>0</v>
      </c>
      <c r="U421" s="160">
        <v>0</v>
      </c>
      <c r="V421" s="160">
        <v>0</v>
      </c>
      <c r="W421" s="160">
        <v>0</v>
      </c>
      <c r="X421" s="160">
        <v>0</v>
      </c>
      <c r="Y421" s="160">
        <v>200000</v>
      </c>
      <c r="Z421" s="160">
        <f t="shared" si="129"/>
        <v>175609.7</v>
      </c>
      <c r="AA421" s="160">
        <v>0</v>
      </c>
      <c r="AB421" s="150">
        <v>2028</v>
      </c>
      <c r="AC421" s="150">
        <v>2028</v>
      </c>
      <c r="AD421" s="150">
        <v>2028</v>
      </c>
    </row>
    <row r="422" spans="1:30" x14ac:dyDescent="0.3">
      <c r="A422" s="121">
        <v>1</v>
      </c>
      <c r="B422" s="148">
        <f>SUBTOTAL(9,$A$370:A422)</f>
        <v>50</v>
      </c>
      <c r="C422" s="154" t="s">
        <v>411</v>
      </c>
      <c r="D422" s="163" t="s">
        <v>472</v>
      </c>
      <c r="E422" s="144">
        <f t="shared" si="128"/>
        <v>7635849.8399999999</v>
      </c>
      <c r="F422" s="160">
        <v>0</v>
      </c>
      <c r="G422" s="160">
        <v>0</v>
      </c>
      <c r="H422" s="160">
        <v>0</v>
      </c>
      <c r="I422" s="160">
        <v>0</v>
      </c>
      <c r="J422" s="160">
        <v>0</v>
      </c>
      <c r="K422" s="160">
        <v>0</v>
      </c>
      <c r="L422" s="159">
        <v>0</v>
      </c>
      <c r="M422" s="158">
        <v>0</v>
      </c>
      <c r="N422" s="153">
        <v>590.4</v>
      </c>
      <c r="O422" s="153">
        <v>7325960.4299999997</v>
      </c>
      <c r="P422" s="158">
        <v>0</v>
      </c>
      <c r="Q422" s="158">
        <v>0</v>
      </c>
      <c r="R422" s="158">
        <v>0</v>
      </c>
      <c r="S422" s="158">
        <v>0</v>
      </c>
      <c r="T422" s="160">
        <v>0</v>
      </c>
      <c r="U422" s="160">
        <v>0</v>
      </c>
      <c r="V422" s="160">
        <v>0</v>
      </c>
      <c r="W422" s="160">
        <v>0</v>
      </c>
      <c r="X422" s="160">
        <v>0</v>
      </c>
      <c r="Y422" s="160">
        <v>200000</v>
      </c>
      <c r="Z422" s="160">
        <f t="shared" si="129"/>
        <v>109889.41</v>
      </c>
      <c r="AA422" s="160">
        <v>0</v>
      </c>
      <c r="AB422" s="150">
        <v>2028</v>
      </c>
      <c r="AC422" s="150">
        <v>2028</v>
      </c>
      <c r="AD422" s="150">
        <v>2028</v>
      </c>
    </row>
    <row r="423" spans="1:30" x14ac:dyDescent="0.3">
      <c r="A423" s="121">
        <v>1</v>
      </c>
      <c r="B423" s="148">
        <f>SUBTOTAL(9,$A$370:A423)</f>
        <v>51</v>
      </c>
      <c r="C423" s="154" t="s">
        <v>397</v>
      </c>
      <c r="D423" s="163" t="s">
        <v>472</v>
      </c>
      <c r="E423" s="144">
        <f t="shared" si="128"/>
        <v>14782819.050000001</v>
      </c>
      <c r="F423" s="160">
        <v>0</v>
      </c>
      <c r="G423" s="160">
        <v>0</v>
      </c>
      <c r="H423" s="160">
        <v>0</v>
      </c>
      <c r="I423" s="160">
        <v>0</v>
      </c>
      <c r="J423" s="160">
        <v>0</v>
      </c>
      <c r="K423" s="160">
        <v>0</v>
      </c>
      <c r="L423" s="159">
        <v>0</v>
      </c>
      <c r="M423" s="158">
        <v>0</v>
      </c>
      <c r="N423" s="153">
        <v>1143</v>
      </c>
      <c r="O423" s="153">
        <v>14416570.49</v>
      </c>
      <c r="P423" s="158">
        <v>0</v>
      </c>
      <c r="Q423" s="158">
        <v>0</v>
      </c>
      <c r="R423" s="158">
        <v>0</v>
      </c>
      <c r="S423" s="158">
        <v>0</v>
      </c>
      <c r="T423" s="160">
        <v>0</v>
      </c>
      <c r="U423" s="160">
        <v>0</v>
      </c>
      <c r="V423" s="160">
        <v>0</v>
      </c>
      <c r="W423" s="160">
        <v>0</v>
      </c>
      <c r="X423" s="160">
        <v>0</v>
      </c>
      <c r="Y423" s="160">
        <v>150000</v>
      </c>
      <c r="Z423" s="160">
        <f t="shared" si="129"/>
        <v>216248.56</v>
      </c>
      <c r="AA423" s="160">
        <v>0</v>
      </c>
      <c r="AB423" s="150">
        <v>2028</v>
      </c>
      <c r="AC423" s="150">
        <v>2028</v>
      </c>
      <c r="AD423" s="150">
        <v>2028</v>
      </c>
    </row>
    <row r="424" spans="1:30" x14ac:dyDescent="0.3">
      <c r="A424" s="121">
        <v>1</v>
      </c>
      <c r="B424" s="148">
        <f>SUBTOTAL(9,$A$370:A424)</f>
        <v>52</v>
      </c>
      <c r="C424" s="154" t="s">
        <v>389</v>
      </c>
      <c r="D424" s="163" t="s">
        <v>472</v>
      </c>
      <c r="E424" s="144">
        <f t="shared" si="128"/>
        <v>20473493.050000001</v>
      </c>
      <c r="F424" s="160">
        <v>0</v>
      </c>
      <c r="G424" s="160">
        <v>0</v>
      </c>
      <c r="H424" s="160">
        <v>0</v>
      </c>
      <c r="I424" s="160">
        <v>0</v>
      </c>
      <c r="J424" s="160">
        <v>0</v>
      </c>
      <c r="K424" s="160">
        <v>0</v>
      </c>
      <c r="L424" s="159">
        <v>0</v>
      </c>
      <c r="M424" s="153">
        <v>0</v>
      </c>
      <c r="N424" s="153">
        <v>1583</v>
      </c>
      <c r="O424" s="153">
        <v>19924623.690000001</v>
      </c>
      <c r="P424" s="158">
        <v>0</v>
      </c>
      <c r="Q424" s="158">
        <v>0</v>
      </c>
      <c r="R424" s="158">
        <v>0</v>
      </c>
      <c r="S424" s="158">
        <v>0</v>
      </c>
      <c r="T424" s="160">
        <v>0</v>
      </c>
      <c r="U424" s="160">
        <v>0</v>
      </c>
      <c r="V424" s="160">
        <v>0</v>
      </c>
      <c r="W424" s="160">
        <v>0</v>
      </c>
      <c r="X424" s="160">
        <v>0</v>
      </c>
      <c r="Y424" s="160">
        <v>250000</v>
      </c>
      <c r="Z424" s="160">
        <f t="shared" si="129"/>
        <v>298869.36</v>
      </c>
      <c r="AA424" s="160">
        <v>0</v>
      </c>
      <c r="AB424" s="150">
        <v>2028</v>
      </c>
      <c r="AC424" s="150">
        <v>2028</v>
      </c>
      <c r="AD424" s="150">
        <v>2028</v>
      </c>
    </row>
    <row r="425" spans="1:30" x14ac:dyDescent="0.3">
      <c r="A425" s="121">
        <v>1</v>
      </c>
      <c r="B425" s="148">
        <f>SUBTOTAL(9,$A$370:A425)</f>
        <v>53</v>
      </c>
      <c r="C425" s="154" t="s">
        <v>387</v>
      </c>
      <c r="D425" s="163" t="s">
        <v>472</v>
      </c>
      <c r="E425" s="144">
        <f t="shared" si="128"/>
        <v>14322029.199999999</v>
      </c>
      <c r="F425" s="160">
        <v>0</v>
      </c>
      <c r="G425" s="160">
        <v>0</v>
      </c>
      <c r="H425" s="160">
        <v>0</v>
      </c>
      <c r="I425" s="160">
        <v>0</v>
      </c>
      <c r="J425" s="160">
        <v>0</v>
      </c>
      <c r="K425" s="160">
        <v>0</v>
      </c>
      <c r="L425" s="159">
        <v>0</v>
      </c>
      <c r="M425" s="158">
        <v>0</v>
      </c>
      <c r="N425" s="151">
        <v>1148</v>
      </c>
      <c r="O425" s="153">
        <f>14159634.68-246305.42</f>
        <v>13913329.26</v>
      </c>
      <c r="P425" s="153">
        <v>0</v>
      </c>
      <c r="Q425" s="176">
        <v>0</v>
      </c>
      <c r="R425" s="153">
        <v>0</v>
      </c>
      <c r="S425" s="176">
        <v>0</v>
      </c>
      <c r="T425" s="160">
        <v>0</v>
      </c>
      <c r="U425" s="160">
        <v>0</v>
      </c>
      <c r="V425" s="160">
        <v>0</v>
      </c>
      <c r="W425" s="160">
        <v>0</v>
      </c>
      <c r="X425" s="160">
        <v>0</v>
      </c>
      <c r="Y425" s="160">
        <v>200000</v>
      </c>
      <c r="Z425" s="160">
        <f t="shared" si="129"/>
        <v>208699.94</v>
      </c>
      <c r="AA425" s="160">
        <v>0</v>
      </c>
      <c r="AB425" s="150">
        <v>2028</v>
      </c>
      <c r="AC425" s="150">
        <v>2028</v>
      </c>
      <c r="AD425" s="150">
        <v>2028</v>
      </c>
    </row>
    <row r="426" spans="1:30" x14ac:dyDescent="0.3">
      <c r="A426" s="121">
        <v>1</v>
      </c>
      <c r="B426" s="148">
        <f>SUBTOTAL(9,$A$370:A426)</f>
        <v>54</v>
      </c>
      <c r="C426" s="154" t="s">
        <v>628</v>
      </c>
      <c r="D426" s="163" t="s">
        <v>472</v>
      </c>
      <c r="E426" s="144">
        <f t="shared" si="128"/>
        <v>250000</v>
      </c>
      <c r="F426" s="160">
        <v>0</v>
      </c>
      <c r="G426" s="160">
        <v>0</v>
      </c>
      <c r="H426" s="160">
        <v>0</v>
      </c>
      <c r="I426" s="160">
        <v>0</v>
      </c>
      <c r="J426" s="160">
        <v>0</v>
      </c>
      <c r="K426" s="160">
        <v>0</v>
      </c>
      <c r="L426" s="159">
        <v>0</v>
      </c>
      <c r="M426" s="158">
        <v>0</v>
      </c>
      <c r="N426" s="151">
        <v>0</v>
      </c>
      <c r="O426" s="153">
        <v>0</v>
      </c>
      <c r="P426" s="153">
        <v>0</v>
      </c>
      <c r="Q426" s="176">
        <v>0</v>
      </c>
      <c r="R426" s="153">
        <v>0</v>
      </c>
      <c r="S426" s="176">
        <v>0</v>
      </c>
      <c r="T426" s="160">
        <v>0</v>
      </c>
      <c r="U426" s="160">
        <v>0</v>
      </c>
      <c r="V426" s="160">
        <v>0</v>
      </c>
      <c r="W426" s="160">
        <v>0</v>
      </c>
      <c r="X426" s="160">
        <v>0</v>
      </c>
      <c r="Y426" s="160">
        <v>250000</v>
      </c>
      <c r="Z426" s="160">
        <f t="shared" si="129"/>
        <v>0</v>
      </c>
      <c r="AA426" s="160">
        <v>0</v>
      </c>
      <c r="AB426" s="150">
        <v>2028</v>
      </c>
      <c r="AC426" s="150" t="s">
        <v>425</v>
      </c>
      <c r="AD426" s="150" t="s">
        <v>425</v>
      </c>
    </row>
    <row r="427" spans="1:30" x14ac:dyDescent="0.3">
      <c r="A427" s="121">
        <v>1</v>
      </c>
      <c r="B427" s="148">
        <f>SUBTOTAL(9,$A$370:A427)</f>
        <v>55</v>
      </c>
      <c r="C427" s="154" t="s">
        <v>382</v>
      </c>
      <c r="D427" s="163" t="s">
        <v>472</v>
      </c>
      <c r="E427" s="144">
        <f>F427+G427+H427+I427+J427+K427+M427+O427+Q427+S427+U427+V427+W427+X427+Z427+AA427+Y427</f>
        <v>13024567.26</v>
      </c>
      <c r="F427" s="160">
        <v>0</v>
      </c>
      <c r="G427" s="160">
        <v>0</v>
      </c>
      <c r="H427" s="160">
        <v>0</v>
      </c>
      <c r="I427" s="160">
        <v>0</v>
      </c>
      <c r="J427" s="160">
        <v>0</v>
      </c>
      <c r="K427" s="160">
        <v>0</v>
      </c>
      <c r="L427" s="173">
        <v>0</v>
      </c>
      <c r="M427" s="153">
        <v>0</v>
      </c>
      <c r="N427" s="153">
        <v>1026</v>
      </c>
      <c r="O427" s="153">
        <v>12635041.640000001</v>
      </c>
      <c r="P427" s="153">
        <v>0</v>
      </c>
      <c r="Q427" s="153">
        <v>0</v>
      </c>
      <c r="R427" s="153">
        <v>0</v>
      </c>
      <c r="S427" s="153">
        <v>0</v>
      </c>
      <c r="T427" s="160">
        <v>0</v>
      </c>
      <c r="U427" s="160">
        <v>0</v>
      </c>
      <c r="V427" s="160">
        <v>0</v>
      </c>
      <c r="W427" s="160">
        <v>0</v>
      </c>
      <c r="X427" s="160">
        <v>0</v>
      </c>
      <c r="Y427" s="160">
        <v>200000</v>
      </c>
      <c r="Z427" s="160">
        <f>ROUND(O427*1.5%,2)</f>
        <v>189525.62</v>
      </c>
      <c r="AA427" s="160">
        <v>0</v>
      </c>
      <c r="AB427" s="150">
        <v>2028</v>
      </c>
      <c r="AC427" s="150">
        <v>2028</v>
      </c>
      <c r="AD427" s="150">
        <v>2028</v>
      </c>
    </row>
    <row r="428" spans="1:30" x14ac:dyDescent="0.3">
      <c r="B428" s="147" t="s">
        <v>676</v>
      </c>
      <c r="C428" s="147"/>
      <c r="D428" s="172"/>
      <c r="E428" s="153">
        <f>SUM(E429:E441)</f>
        <v>157618575.54000002</v>
      </c>
      <c r="F428" s="153">
        <f t="shared" ref="F428:AA428" si="130">SUM(F429:F441)</f>
        <v>0</v>
      </c>
      <c r="G428" s="153">
        <f t="shared" si="130"/>
        <v>0</v>
      </c>
      <c r="H428" s="153">
        <f t="shared" si="130"/>
        <v>0</v>
      </c>
      <c r="I428" s="153">
        <f t="shared" si="130"/>
        <v>0</v>
      </c>
      <c r="J428" s="153">
        <f t="shared" si="130"/>
        <v>0</v>
      </c>
      <c r="K428" s="153">
        <f t="shared" si="130"/>
        <v>0</v>
      </c>
      <c r="L428" s="173">
        <f t="shared" si="130"/>
        <v>2</v>
      </c>
      <c r="M428" s="153">
        <f t="shared" si="130"/>
        <v>7957204.9299999997</v>
      </c>
      <c r="N428" s="153">
        <f t="shared" si="130"/>
        <v>11164.439999999999</v>
      </c>
      <c r="O428" s="153">
        <f t="shared" si="130"/>
        <v>143933017.28</v>
      </c>
      <c r="P428" s="153">
        <f t="shared" si="130"/>
        <v>0</v>
      </c>
      <c r="Q428" s="153">
        <f t="shared" si="130"/>
        <v>0</v>
      </c>
      <c r="R428" s="153">
        <f t="shared" si="130"/>
        <v>0</v>
      </c>
      <c r="S428" s="153">
        <f t="shared" si="130"/>
        <v>0</v>
      </c>
      <c r="T428" s="153">
        <f t="shared" si="130"/>
        <v>0</v>
      </c>
      <c r="U428" s="153">
        <f t="shared" si="130"/>
        <v>0</v>
      </c>
      <c r="V428" s="153">
        <f t="shared" si="130"/>
        <v>0</v>
      </c>
      <c r="W428" s="153">
        <f t="shared" si="130"/>
        <v>0</v>
      </c>
      <c r="X428" s="153">
        <f t="shared" si="130"/>
        <v>0</v>
      </c>
      <c r="Y428" s="153">
        <f t="shared" si="130"/>
        <v>3450000</v>
      </c>
      <c r="Z428" s="153">
        <f t="shared" si="130"/>
        <v>2278353.3300000005</v>
      </c>
      <c r="AA428" s="153">
        <f t="shared" si="130"/>
        <v>0</v>
      </c>
      <c r="AB428" s="146" t="s">
        <v>422</v>
      </c>
      <c r="AC428" s="146" t="s">
        <v>422</v>
      </c>
      <c r="AD428" s="146" t="s">
        <v>422</v>
      </c>
    </row>
    <row r="429" spans="1:30" x14ac:dyDescent="0.3">
      <c r="A429" s="121">
        <v>1</v>
      </c>
      <c r="B429" s="148">
        <f>SUBTOTAL(9,$A$370:A429)</f>
        <v>56</v>
      </c>
      <c r="C429" s="154" t="s">
        <v>343</v>
      </c>
      <c r="D429" s="163" t="s">
        <v>609</v>
      </c>
      <c r="E429" s="144">
        <f t="shared" ref="E429:E441" si="131">F429+G429+H429+I429+J429+K429+M429+O429+Q429+S429+U429+V429+W429+X429+Z429+AA429+Y429</f>
        <v>9480145.5600000005</v>
      </c>
      <c r="F429" s="160">
        <v>0</v>
      </c>
      <c r="G429" s="160">
        <v>0</v>
      </c>
      <c r="H429" s="160">
        <v>0</v>
      </c>
      <c r="I429" s="160">
        <v>0</v>
      </c>
      <c r="J429" s="160">
        <v>0</v>
      </c>
      <c r="K429" s="160">
        <v>0</v>
      </c>
      <c r="L429" s="159">
        <v>0</v>
      </c>
      <c r="M429" s="160">
        <v>0</v>
      </c>
      <c r="N429" s="160">
        <v>733</v>
      </c>
      <c r="O429" s="160">
        <v>9093739.4700000007</v>
      </c>
      <c r="P429" s="160">
        <v>0</v>
      </c>
      <c r="Q429" s="160">
        <v>0</v>
      </c>
      <c r="R429" s="160">
        <v>0</v>
      </c>
      <c r="S429" s="160">
        <v>0</v>
      </c>
      <c r="T429" s="160">
        <v>0</v>
      </c>
      <c r="U429" s="160">
        <v>0</v>
      </c>
      <c r="V429" s="160">
        <v>0</v>
      </c>
      <c r="W429" s="160">
        <v>0</v>
      </c>
      <c r="X429" s="160">
        <v>0</v>
      </c>
      <c r="Y429" s="160">
        <v>250000</v>
      </c>
      <c r="Z429" s="160">
        <f>ROUND(O429*1.5%,2)</f>
        <v>136406.09</v>
      </c>
      <c r="AA429" s="160">
        <v>0</v>
      </c>
      <c r="AB429" s="150">
        <v>2028</v>
      </c>
      <c r="AC429" s="150">
        <v>2028</v>
      </c>
      <c r="AD429" s="150">
        <v>2028</v>
      </c>
    </row>
    <row r="430" spans="1:30" x14ac:dyDescent="0.3">
      <c r="A430" s="121">
        <v>1</v>
      </c>
      <c r="B430" s="148">
        <f>SUBTOTAL(9,$A$370:A430)</f>
        <v>57</v>
      </c>
      <c r="C430" s="154" t="s">
        <v>333</v>
      </c>
      <c r="D430" s="163" t="s">
        <v>609</v>
      </c>
      <c r="E430" s="144">
        <f t="shared" si="131"/>
        <v>22696735.919999998</v>
      </c>
      <c r="F430" s="160">
        <v>0</v>
      </c>
      <c r="G430" s="160">
        <v>0</v>
      </c>
      <c r="H430" s="160">
        <v>0</v>
      </c>
      <c r="I430" s="160">
        <v>0</v>
      </c>
      <c r="J430" s="160">
        <v>0</v>
      </c>
      <c r="K430" s="160">
        <v>0</v>
      </c>
      <c r="L430" s="159">
        <v>0</v>
      </c>
      <c r="M430" s="160">
        <v>0</v>
      </c>
      <c r="N430" s="160">
        <v>1754.9</v>
      </c>
      <c r="O430" s="160">
        <v>22016488.59</v>
      </c>
      <c r="P430" s="160">
        <v>0</v>
      </c>
      <c r="Q430" s="160">
        <v>0</v>
      </c>
      <c r="R430" s="160">
        <v>0</v>
      </c>
      <c r="S430" s="160">
        <v>0</v>
      </c>
      <c r="T430" s="160">
        <v>0</v>
      </c>
      <c r="U430" s="160">
        <v>0</v>
      </c>
      <c r="V430" s="160">
        <v>0</v>
      </c>
      <c r="W430" s="160">
        <v>0</v>
      </c>
      <c r="X430" s="160">
        <v>0</v>
      </c>
      <c r="Y430" s="160">
        <v>350000</v>
      </c>
      <c r="Z430" s="160">
        <f>ROUND(O430*1.5%,2)</f>
        <v>330247.33</v>
      </c>
      <c r="AA430" s="160">
        <v>0</v>
      </c>
      <c r="AB430" s="150">
        <v>2028</v>
      </c>
      <c r="AC430" s="150">
        <v>2028</v>
      </c>
      <c r="AD430" s="150">
        <v>2028</v>
      </c>
    </row>
    <row r="431" spans="1:30" x14ac:dyDescent="0.3">
      <c r="A431" s="121">
        <v>1</v>
      </c>
      <c r="B431" s="148">
        <f>SUBTOTAL(9,$A$370:A431)</f>
        <v>58</v>
      </c>
      <c r="C431" s="154" t="s">
        <v>338</v>
      </c>
      <c r="D431" s="163" t="s">
        <v>609</v>
      </c>
      <c r="E431" s="144">
        <f t="shared" si="131"/>
        <v>12105615.6</v>
      </c>
      <c r="F431" s="160">
        <v>0</v>
      </c>
      <c r="G431" s="160">
        <v>0</v>
      </c>
      <c r="H431" s="160">
        <v>0</v>
      </c>
      <c r="I431" s="160">
        <v>0</v>
      </c>
      <c r="J431" s="160">
        <v>0</v>
      </c>
      <c r="K431" s="160">
        <v>0</v>
      </c>
      <c r="L431" s="159">
        <v>0</v>
      </c>
      <c r="M431" s="160">
        <v>0</v>
      </c>
      <c r="N431" s="144">
        <v>936</v>
      </c>
      <c r="O431" s="160">
        <v>11631148.369999999</v>
      </c>
      <c r="P431" s="160">
        <v>0</v>
      </c>
      <c r="Q431" s="160">
        <v>0</v>
      </c>
      <c r="R431" s="160">
        <v>0</v>
      </c>
      <c r="S431" s="160">
        <v>0</v>
      </c>
      <c r="T431" s="160">
        <v>0</v>
      </c>
      <c r="U431" s="160">
        <v>0</v>
      </c>
      <c r="V431" s="160">
        <v>0</v>
      </c>
      <c r="W431" s="160">
        <v>0</v>
      </c>
      <c r="X431" s="160">
        <v>0</v>
      </c>
      <c r="Y431" s="160">
        <v>300000</v>
      </c>
      <c r="Z431" s="160">
        <f>ROUND(O431*1.5%,2)</f>
        <v>174467.23</v>
      </c>
      <c r="AA431" s="160">
        <v>0</v>
      </c>
      <c r="AB431" s="150">
        <v>2028</v>
      </c>
      <c r="AC431" s="150">
        <v>2028</v>
      </c>
      <c r="AD431" s="150">
        <v>2028</v>
      </c>
    </row>
    <row r="432" spans="1:30" x14ac:dyDescent="0.3">
      <c r="A432" s="121">
        <v>1</v>
      </c>
      <c r="B432" s="148">
        <f>SUBTOTAL(9,$A$370:A432)</f>
        <v>59</v>
      </c>
      <c r="C432" s="154" t="s">
        <v>331</v>
      </c>
      <c r="D432" s="163" t="s">
        <v>609</v>
      </c>
      <c r="E432" s="144">
        <f t="shared" si="131"/>
        <v>9182678.5</v>
      </c>
      <c r="F432" s="160">
        <v>0</v>
      </c>
      <c r="G432" s="160">
        <v>0</v>
      </c>
      <c r="H432" s="160">
        <v>0</v>
      </c>
      <c r="I432" s="160">
        <v>0</v>
      </c>
      <c r="J432" s="160">
        <v>0</v>
      </c>
      <c r="K432" s="160">
        <v>0</v>
      </c>
      <c r="L432" s="159">
        <v>0</v>
      </c>
      <c r="M432" s="160">
        <v>0</v>
      </c>
      <c r="N432" s="160">
        <v>710</v>
      </c>
      <c r="O432" s="160">
        <v>8849929.5600000005</v>
      </c>
      <c r="P432" s="160">
        <v>0</v>
      </c>
      <c r="Q432" s="160">
        <v>0</v>
      </c>
      <c r="R432" s="160">
        <v>0</v>
      </c>
      <c r="S432" s="160">
        <v>0</v>
      </c>
      <c r="T432" s="160">
        <v>0</v>
      </c>
      <c r="U432" s="160">
        <v>0</v>
      </c>
      <c r="V432" s="160">
        <v>0</v>
      </c>
      <c r="W432" s="160">
        <v>0</v>
      </c>
      <c r="X432" s="160">
        <v>0</v>
      </c>
      <c r="Y432" s="160">
        <v>200000</v>
      </c>
      <c r="Z432" s="160">
        <f>ROUND(O432*1.5%,2)</f>
        <v>132748.94</v>
      </c>
      <c r="AA432" s="160">
        <v>0</v>
      </c>
      <c r="AB432" s="150">
        <v>2028</v>
      </c>
      <c r="AC432" s="150">
        <v>2028</v>
      </c>
      <c r="AD432" s="150">
        <v>2028</v>
      </c>
    </row>
    <row r="433" spans="1:30" x14ac:dyDescent="0.3">
      <c r="A433" s="121">
        <v>1</v>
      </c>
      <c r="B433" s="148">
        <f>SUBTOTAL(9,$A$370:A433)</f>
        <v>60</v>
      </c>
      <c r="C433" s="154" t="s">
        <v>336</v>
      </c>
      <c r="D433" s="163" t="s">
        <v>609</v>
      </c>
      <c r="E433" s="144">
        <f t="shared" si="131"/>
        <v>15028476</v>
      </c>
      <c r="F433" s="160">
        <v>0</v>
      </c>
      <c r="G433" s="160">
        <v>0</v>
      </c>
      <c r="H433" s="160">
        <v>0</v>
      </c>
      <c r="I433" s="160">
        <v>0</v>
      </c>
      <c r="J433" s="160">
        <v>0</v>
      </c>
      <c r="K433" s="160">
        <v>0</v>
      </c>
      <c r="L433" s="159">
        <v>0</v>
      </c>
      <c r="M433" s="160">
        <v>0</v>
      </c>
      <c r="N433" s="160">
        <v>1275</v>
      </c>
      <c r="O433" s="160">
        <v>14510813.789999999</v>
      </c>
      <c r="P433" s="160">
        <v>0</v>
      </c>
      <c r="Q433" s="160">
        <v>0</v>
      </c>
      <c r="R433" s="160">
        <v>0</v>
      </c>
      <c r="S433" s="160">
        <v>0</v>
      </c>
      <c r="T433" s="160">
        <v>0</v>
      </c>
      <c r="U433" s="160">
        <v>0</v>
      </c>
      <c r="V433" s="160">
        <v>0</v>
      </c>
      <c r="W433" s="160">
        <v>0</v>
      </c>
      <c r="X433" s="160">
        <v>0</v>
      </c>
      <c r="Y433" s="160">
        <v>300000</v>
      </c>
      <c r="Z433" s="160">
        <f>ROUND(O433*1.5%,2)</f>
        <v>217662.21</v>
      </c>
      <c r="AA433" s="160">
        <v>0</v>
      </c>
      <c r="AB433" s="150">
        <v>2028</v>
      </c>
      <c r="AC433" s="150">
        <v>2028</v>
      </c>
      <c r="AD433" s="150">
        <v>2028</v>
      </c>
    </row>
    <row r="434" spans="1:30" x14ac:dyDescent="0.3">
      <c r="A434" s="121">
        <v>1</v>
      </c>
      <c r="B434" s="148">
        <f>SUBTOTAL(9,$A$370:A434)</f>
        <v>61</v>
      </c>
      <c r="C434" s="154" t="s">
        <v>675</v>
      </c>
      <c r="D434" s="163"/>
      <c r="E434" s="144">
        <f t="shared" si="131"/>
        <v>8326563</v>
      </c>
      <c r="F434" s="160">
        <v>0</v>
      </c>
      <c r="G434" s="160">
        <v>0</v>
      </c>
      <c r="H434" s="160">
        <v>0</v>
      </c>
      <c r="I434" s="160">
        <v>0</v>
      </c>
      <c r="J434" s="160">
        <v>0</v>
      </c>
      <c r="K434" s="160">
        <v>0</v>
      </c>
      <c r="L434" s="159">
        <v>2</v>
      </c>
      <c r="M434" s="160">
        <v>7957204.9299999997</v>
      </c>
      <c r="N434" s="160">
        <v>0</v>
      </c>
      <c r="O434" s="160">
        <v>0</v>
      </c>
      <c r="P434" s="160">
        <v>0</v>
      </c>
      <c r="Q434" s="160">
        <v>0</v>
      </c>
      <c r="R434" s="160">
        <v>0</v>
      </c>
      <c r="S434" s="160">
        <v>0</v>
      </c>
      <c r="T434" s="160">
        <v>0</v>
      </c>
      <c r="U434" s="160">
        <v>0</v>
      </c>
      <c r="V434" s="160">
        <v>0</v>
      </c>
      <c r="W434" s="160">
        <v>0</v>
      </c>
      <c r="X434" s="160">
        <v>0</v>
      </c>
      <c r="Y434" s="160">
        <v>250000</v>
      </c>
      <c r="Z434" s="160">
        <f>ROUND(M434*1.5%,2)</f>
        <v>119358.07</v>
      </c>
      <c r="AA434" s="160">
        <v>0</v>
      </c>
      <c r="AB434" s="150">
        <v>2028</v>
      </c>
      <c r="AC434" s="150">
        <v>2028</v>
      </c>
      <c r="AD434" s="150">
        <v>2028</v>
      </c>
    </row>
    <row r="435" spans="1:30" x14ac:dyDescent="0.3">
      <c r="A435" s="121">
        <v>1</v>
      </c>
      <c r="B435" s="148">
        <f>SUBTOTAL(9,$A$370:A435)</f>
        <v>62</v>
      </c>
      <c r="C435" s="154" t="s">
        <v>355</v>
      </c>
      <c r="D435" s="163" t="s">
        <v>609</v>
      </c>
      <c r="E435" s="144">
        <f t="shared" si="131"/>
        <v>14760776.110000001</v>
      </c>
      <c r="F435" s="160">
        <v>0</v>
      </c>
      <c r="G435" s="160">
        <v>0</v>
      </c>
      <c r="H435" s="160">
        <v>0</v>
      </c>
      <c r="I435" s="160">
        <v>0</v>
      </c>
      <c r="J435" s="160">
        <v>0</v>
      </c>
      <c r="K435" s="160">
        <v>0</v>
      </c>
      <c r="L435" s="159">
        <v>0</v>
      </c>
      <c r="M435" s="160">
        <v>0</v>
      </c>
      <c r="N435" s="160">
        <v>877.8</v>
      </c>
      <c r="O435" s="160">
        <v>14296331.140000001</v>
      </c>
      <c r="P435" s="160">
        <v>0</v>
      </c>
      <c r="Q435" s="160">
        <v>0</v>
      </c>
      <c r="R435" s="160">
        <v>0</v>
      </c>
      <c r="S435" s="160">
        <v>0</v>
      </c>
      <c r="T435" s="160">
        <v>0</v>
      </c>
      <c r="U435" s="160">
        <v>0</v>
      </c>
      <c r="V435" s="160">
        <v>0</v>
      </c>
      <c r="W435" s="160">
        <v>0</v>
      </c>
      <c r="X435" s="160">
        <v>0</v>
      </c>
      <c r="Y435" s="160">
        <v>250000</v>
      </c>
      <c r="Z435" s="160">
        <f t="shared" ref="Z435:Z441" si="132">ROUND(O435*1.5%,2)</f>
        <v>214444.97</v>
      </c>
      <c r="AA435" s="160">
        <v>0</v>
      </c>
      <c r="AB435" s="150">
        <v>2028</v>
      </c>
      <c r="AC435" s="150">
        <v>2028</v>
      </c>
      <c r="AD435" s="150">
        <v>2028</v>
      </c>
    </row>
    <row r="436" spans="1:30" x14ac:dyDescent="0.3">
      <c r="A436" s="121">
        <v>1</v>
      </c>
      <c r="B436" s="148">
        <f>SUBTOTAL(9,$A$370:A436)</f>
        <v>63</v>
      </c>
      <c r="C436" s="154" t="s">
        <v>354</v>
      </c>
      <c r="D436" s="163" t="s">
        <v>609</v>
      </c>
      <c r="E436" s="144">
        <f t="shared" si="131"/>
        <v>16360997.43</v>
      </c>
      <c r="F436" s="160">
        <v>0</v>
      </c>
      <c r="G436" s="160">
        <v>0</v>
      </c>
      <c r="H436" s="160">
        <v>0</v>
      </c>
      <c r="I436" s="160">
        <v>0</v>
      </c>
      <c r="J436" s="160">
        <v>0</v>
      </c>
      <c r="K436" s="160">
        <v>0</v>
      </c>
      <c r="L436" s="159">
        <v>0</v>
      </c>
      <c r="M436" s="160">
        <v>0</v>
      </c>
      <c r="N436" s="160">
        <v>980.44</v>
      </c>
      <c r="O436" s="160">
        <v>15823642.789999999</v>
      </c>
      <c r="P436" s="160">
        <v>0</v>
      </c>
      <c r="Q436" s="160">
        <v>0</v>
      </c>
      <c r="R436" s="160">
        <v>0</v>
      </c>
      <c r="S436" s="160">
        <v>0</v>
      </c>
      <c r="T436" s="160">
        <v>0</v>
      </c>
      <c r="U436" s="160">
        <v>0</v>
      </c>
      <c r="V436" s="160">
        <v>0</v>
      </c>
      <c r="W436" s="160">
        <v>0</v>
      </c>
      <c r="X436" s="160">
        <v>0</v>
      </c>
      <c r="Y436" s="160">
        <v>300000</v>
      </c>
      <c r="Z436" s="160">
        <f t="shared" si="132"/>
        <v>237354.64</v>
      </c>
      <c r="AA436" s="160">
        <v>0</v>
      </c>
      <c r="AB436" s="150">
        <v>2028</v>
      </c>
      <c r="AC436" s="150">
        <v>2028</v>
      </c>
      <c r="AD436" s="150">
        <v>2028</v>
      </c>
    </row>
    <row r="437" spans="1:30" x14ac:dyDescent="0.3">
      <c r="A437" s="121">
        <v>1</v>
      </c>
      <c r="B437" s="148">
        <f>SUBTOTAL(9,$A$370:A437)</f>
        <v>64</v>
      </c>
      <c r="C437" s="154" t="s">
        <v>349</v>
      </c>
      <c r="D437" s="163" t="s">
        <v>609</v>
      </c>
      <c r="E437" s="144">
        <f t="shared" si="131"/>
        <v>18432428.520000003</v>
      </c>
      <c r="F437" s="160">
        <v>0</v>
      </c>
      <c r="G437" s="160">
        <v>0</v>
      </c>
      <c r="H437" s="160">
        <v>0</v>
      </c>
      <c r="I437" s="160">
        <v>0</v>
      </c>
      <c r="J437" s="160">
        <v>0</v>
      </c>
      <c r="K437" s="160">
        <v>0</v>
      </c>
      <c r="L437" s="159">
        <v>0</v>
      </c>
      <c r="M437" s="160">
        <v>0</v>
      </c>
      <c r="N437" s="160">
        <v>1452</v>
      </c>
      <c r="O437" s="160">
        <v>17864461.600000001</v>
      </c>
      <c r="P437" s="160">
        <v>0</v>
      </c>
      <c r="Q437" s="160">
        <v>0</v>
      </c>
      <c r="R437" s="160">
        <v>0</v>
      </c>
      <c r="S437" s="160">
        <v>0</v>
      </c>
      <c r="T437" s="160">
        <v>0</v>
      </c>
      <c r="U437" s="160">
        <v>0</v>
      </c>
      <c r="V437" s="160">
        <v>0</v>
      </c>
      <c r="W437" s="160">
        <v>0</v>
      </c>
      <c r="X437" s="160">
        <v>0</v>
      </c>
      <c r="Y437" s="160">
        <v>300000</v>
      </c>
      <c r="Z437" s="160">
        <f t="shared" si="132"/>
        <v>267966.92</v>
      </c>
      <c r="AA437" s="160">
        <v>0</v>
      </c>
      <c r="AB437" s="150">
        <v>2028</v>
      </c>
      <c r="AC437" s="150">
        <v>2028</v>
      </c>
      <c r="AD437" s="150">
        <v>2028</v>
      </c>
    </row>
    <row r="438" spans="1:30" x14ac:dyDescent="0.3">
      <c r="A438" s="121">
        <v>1</v>
      </c>
      <c r="B438" s="148">
        <f>SUBTOTAL(9,$A$370:A438)</f>
        <v>65</v>
      </c>
      <c r="C438" s="154" t="s">
        <v>359</v>
      </c>
      <c r="D438" s="163" t="s">
        <v>609</v>
      </c>
      <c r="E438" s="144">
        <f t="shared" si="131"/>
        <v>8417729.5800000001</v>
      </c>
      <c r="F438" s="160">
        <v>0</v>
      </c>
      <c r="G438" s="160">
        <v>0</v>
      </c>
      <c r="H438" s="160">
        <v>0</v>
      </c>
      <c r="I438" s="160">
        <v>0</v>
      </c>
      <c r="J438" s="160">
        <v>0</v>
      </c>
      <c r="K438" s="160">
        <v>0</v>
      </c>
      <c r="L438" s="159">
        <v>0</v>
      </c>
      <c r="M438" s="160">
        <v>0</v>
      </c>
      <c r="N438" s="160">
        <v>663.1</v>
      </c>
      <c r="O438" s="160">
        <v>8047024.2199999997</v>
      </c>
      <c r="P438" s="160">
        <v>0</v>
      </c>
      <c r="Q438" s="160">
        <v>0</v>
      </c>
      <c r="R438" s="160">
        <v>0</v>
      </c>
      <c r="S438" s="160">
        <v>0</v>
      </c>
      <c r="T438" s="160">
        <v>0</v>
      </c>
      <c r="U438" s="160">
        <v>0</v>
      </c>
      <c r="V438" s="160">
        <v>0</v>
      </c>
      <c r="W438" s="160">
        <v>0</v>
      </c>
      <c r="X438" s="160">
        <v>0</v>
      </c>
      <c r="Y438" s="160">
        <v>250000</v>
      </c>
      <c r="Z438" s="160">
        <f t="shared" si="132"/>
        <v>120705.36</v>
      </c>
      <c r="AA438" s="160">
        <v>0</v>
      </c>
      <c r="AB438" s="150">
        <v>2028</v>
      </c>
      <c r="AC438" s="150">
        <v>2028</v>
      </c>
      <c r="AD438" s="150">
        <v>2028</v>
      </c>
    </row>
    <row r="439" spans="1:30" x14ac:dyDescent="0.3">
      <c r="A439" s="121">
        <v>1</v>
      </c>
      <c r="B439" s="148">
        <f>SUBTOTAL(9,$A$370:A439)</f>
        <v>66</v>
      </c>
      <c r="C439" s="154" t="s">
        <v>714</v>
      </c>
      <c r="D439" s="163" t="s">
        <v>609</v>
      </c>
      <c r="E439" s="144">
        <f t="shared" si="131"/>
        <v>10953254.119999999</v>
      </c>
      <c r="F439" s="160">
        <v>0</v>
      </c>
      <c r="G439" s="160">
        <v>0</v>
      </c>
      <c r="H439" s="160">
        <v>0</v>
      </c>
      <c r="I439" s="160">
        <v>0</v>
      </c>
      <c r="J439" s="160">
        <v>0</v>
      </c>
      <c r="K439" s="160">
        <v>0</v>
      </c>
      <c r="L439" s="159">
        <v>0</v>
      </c>
      <c r="M439" s="160">
        <v>0</v>
      </c>
      <c r="N439" s="160">
        <v>846.9</v>
      </c>
      <c r="O439" s="160">
        <v>10545077.949999999</v>
      </c>
      <c r="P439" s="160">
        <v>0</v>
      </c>
      <c r="Q439" s="160">
        <v>0</v>
      </c>
      <c r="R439" s="160">
        <v>0</v>
      </c>
      <c r="S439" s="160">
        <v>0</v>
      </c>
      <c r="T439" s="160">
        <v>0</v>
      </c>
      <c r="U439" s="160">
        <v>0</v>
      </c>
      <c r="V439" s="160">
        <v>0</v>
      </c>
      <c r="W439" s="160">
        <v>0</v>
      </c>
      <c r="X439" s="160">
        <v>0</v>
      </c>
      <c r="Y439" s="160">
        <v>250000</v>
      </c>
      <c r="Z439" s="160">
        <f t="shared" si="132"/>
        <v>158176.17000000001</v>
      </c>
      <c r="AA439" s="160">
        <v>0</v>
      </c>
      <c r="AB439" s="150">
        <v>2028</v>
      </c>
      <c r="AC439" s="150">
        <v>2028</v>
      </c>
      <c r="AD439" s="150">
        <v>2028</v>
      </c>
    </row>
    <row r="440" spans="1:30" x14ac:dyDescent="0.3">
      <c r="A440" s="121">
        <v>1</v>
      </c>
      <c r="B440" s="148">
        <f>SUBTOTAL(9,$A$370:A440)</f>
        <v>67</v>
      </c>
      <c r="C440" s="154" t="s">
        <v>358</v>
      </c>
      <c r="D440" s="163" t="s">
        <v>609</v>
      </c>
      <c r="E440" s="144">
        <f t="shared" si="131"/>
        <v>4637304.5</v>
      </c>
      <c r="F440" s="160">
        <v>0</v>
      </c>
      <c r="G440" s="160">
        <v>0</v>
      </c>
      <c r="H440" s="160">
        <v>0</v>
      </c>
      <c r="I440" s="160">
        <v>0</v>
      </c>
      <c r="J440" s="160">
        <v>0</v>
      </c>
      <c r="K440" s="160">
        <v>0</v>
      </c>
      <c r="L440" s="159">
        <v>0</v>
      </c>
      <c r="M440" s="160">
        <v>0</v>
      </c>
      <c r="N440" s="160">
        <v>365.3</v>
      </c>
      <c r="O440" s="160">
        <v>4371728.57</v>
      </c>
      <c r="P440" s="160">
        <v>0</v>
      </c>
      <c r="Q440" s="160">
        <v>0</v>
      </c>
      <c r="R440" s="160">
        <v>0</v>
      </c>
      <c r="S440" s="160">
        <v>0</v>
      </c>
      <c r="T440" s="160">
        <v>0</v>
      </c>
      <c r="U440" s="160">
        <v>0</v>
      </c>
      <c r="V440" s="160">
        <v>0</v>
      </c>
      <c r="W440" s="160">
        <v>0</v>
      </c>
      <c r="X440" s="160">
        <v>0</v>
      </c>
      <c r="Y440" s="160">
        <v>200000</v>
      </c>
      <c r="Z440" s="160">
        <f t="shared" si="132"/>
        <v>65575.929999999993</v>
      </c>
      <c r="AA440" s="160">
        <v>0</v>
      </c>
      <c r="AB440" s="150">
        <v>2028</v>
      </c>
      <c r="AC440" s="150">
        <v>2028</v>
      </c>
      <c r="AD440" s="150">
        <v>2028</v>
      </c>
    </row>
    <row r="441" spans="1:30" x14ac:dyDescent="0.3">
      <c r="A441" s="121">
        <v>1</v>
      </c>
      <c r="B441" s="148">
        <f>SUBTOTAL(9,$A$370:A441)</f>
        <v>68</v>
      </c>
      <c r="C441" s="154" t="s">
        <v>357</v>
      </c>
      <c r="D441" s="163" t="s">
        <v>609</v>
      </c>
      <c r="E441" s="144">
        <f t="shared" si="131"/>
        <v>7235870.7000000002</v>
      </c>
      <c r="F441" s="160">
        <v>0</v>
      </c>
      <c r="G441" s="160">
        <v>0</v>
      </c>
      <c r="H441" s="160">
        <v>0</v>
      </c>
      <c r="I441" s="160">
        <v>0</v>
      </c>
      <c r="J441" s="160">
        <v>0</v>
      </c>
      <c r="K441" s="160">
        <v>0</v>
      </c>
      <c r="L441" s="159">
        <v>0</v>
      </c>
      <c r="M441" s="160">
        <v>0</v>
      </c>
      <c r="N441" s="160">
        <v>570</v>
      </c>
      <c r="O441" s="160">
        <v>6882631.2300000004</v>
      </c>
      <c r="P441" s="160">
        <v>0</v>
      </c>
      <c r="Q441" s="160">
        <v>0</v>
      </c>
      <c r="R441" s="160">
        <v>0</v>
      </c>
      <c r="S441" s="160">
        <v>0</v>
      </c>
      <c r="T441" s="160">
        <v>0</v>
      </c>
      <c r="U441" s="160">
        <v>0</v>
      </c>
      <c r="V441" s="160">
        <v>0</v>
      </c>
      <c r="W441" s="160">
        <v>0</v>
      </c>
      <c r="X441" s="160">
        <v>0</v>
      </c>
      <c r="Y441" s="160">
        <v>250000</v>
      </c>
      <c r="Z441" s="160">
        <f t="shared" si="132"/>
        <v>103239.47</v>
      </c>
      <c r="AA441" s="160">
        <v>0</v>
      </c>
      <c r="AB441" s="150">
        <v>2028</v>
      </c>
      <c r="AC441" s="150">
        <v>2028</v>
      </c>
      <c r="AD441" s="150">
        <v>2028</v>
      </c>
    </row>
    <row r="442" spans="1:30" x14ac:dyDescent="0.3">
      <c r="B442" s="147" t="s">
        <v>502</v>
      </c>
      <c r="C442" s="147"/>
      <c r="D442" s="172"/>
      <c r="E442" s="153">
        <f>E443+E444</f>
        <v>19422530.299999997</v>
      </c>
      <c r="F442" s="153">
        <f t="shared" ref="F442:AA442" si="133">F443+F444</f>
        <v>0</v>
      </c>
      <c r="G442" s="153">
        <f t="shared" si="133"/>
        <v>0</v>
      </c>
      <c r="H442" s="153">
        <f t="shared" si="133"/>
        <v>0</v>
      </c>
      <c r="I442" s="153">
        <f t="shared" si="133"/>
        <v>0</v>
      </c>
      <c r="J442" s="153">
        <f t="shared" si="133"/>
        <v>0</v>
      </c>
      <c r="K442" s="153">
        <f t="shared" si="133"/>
        <v>0</v>
      </c>
      <c r="L442" s="173">
        <f t="shared" si="133"/>
        <v>0</v>
      </c>
      <c r="M442" s="153">
        <f t="shared" si="133"/>
        <v>0</v>
      </c>
      <c r="N442" s="153">
        <f t="shared" si="133"/>
        <v>1530</v>
      </c>
      <c r="O442" s="153">
        <f t="shared" si="133"/>
        <v>18642886.989999998</v>
      </c>
      <c r="P442" s="153">
        <f t="shared" si="133"/>
        <v>0</v>
      </c>
      <c r="Q442" s="153">
        <f t="shared" si="133"/>
        <v>0</v>
      </c>
      <c r="R442" s="153">
        <f t="shared" si="133"/>
        <v>0</v>
      </c>
      <c r="S442" s="153">
        <f t="shared" si="133"/>
        <v>0</v>
      </c>
      <c r="T442" s="153">
        <f t="shared" si="133"/>
        <v>0</v>
      </c>
      <c r="U442" s="153">
        <f t="shared" si="133"/>
        <v>0</v>
      </c>
      <c r="V442" s="153">
        <f t="shared" si="133"/>
        <v>0</v>
      </c>
      <c r="W442" s="153">
        <f t="shared" si="133"/>
        <v>0</v>
      </c>
      <c r="X442" s="153">
        <f t="shared" si="133"/>
        <v>0</v>
      </c>
      <c r="Y442" s="153">
        <f t="shared" si="133"/>
        <v>500000</v>
      </c>
      <c r="Z442" s="153">
        <f t="shared" si="133"/>
        <v>279643.31</v>
      </c>
      <c r="AA442" s="153">
        <f t="shared" si="133"/>
        <v>0</v>
      </c>
      <c r="AB442" s="146" t="s">
        <v>422</v>
      </c>
      <c r="AC442" s="146" t="s">
        <v>422</v>
      </c>
      <c r="AD442" s="146" t="s">
        <v>422</v>
      </c>
    </row>
    <row r="443" spans="1:30" x14ac:dyDescent="0.3">
      <c r="A443" s="121">
        <v>1</v>
      </c>
      <c r="B443" s="148">
        <f>SUBTOTAL(9,$A$370:A443)</f>
        <v>69</v>
      </c>
      <c r="C443" s="154" t="s">
        <v>366</v>
      </c>
      <c r="D443" s="163" t="s">
        <v>610</v>
      </c>
      <c r="E443" s="144">
        <f t="shared" ref="E443:E448" si="134">F443+G443+H443+I443+J443+K443+M443+O443+Q443+S443+U443+V443+W443+X443+Z443+AA443+Y443</f>
        <v>9266922.2999999989</v>
      </c>
      <c r="F443" s="160">
        <v>0</v>
      </c>
      <c r="G443" s="160">
        <v>0</v>
      </c>
      <c r="H443" s="160">
        <v>0</v>
      </c>
      <c r="I443" s="160">
        <v>0</v>
      </c>
      <c r="J443" s="160">
        <v>0</v>
      </c>
      <c r="K443" s="160">
        <v>0</v>
      </c>
      <c r="L443" s="162">
        <v>0</v>
      </c>
      <c r="M443" s="160">
        <v>0</v>
      </c>
      <c r="N443" s="160">
        <v>730</v>
      </c>
      <c r="O443" s="160">
        <v>8883667.2899999991</v>
      </c>
      <c r="P443" s="160">
        <v>0</v>
      </c>
      <c r="Q443" s="160">
        <v>0</v>
      </c>
      <c r="R443" s="160">
        <v>0</v>
      </c>
      <c r="S443" s="160">
        <v>0</v>
      </c>
      <c r="T443" s="160">
        <v>0</v>
      </c>
      <c r="U443" s="160">
        <v>0</v>
      </c>
      <c r="V443" s="160">
        <v>0</v>
      </c>
      <c r="W443" s="160">
        <v>0</v>
      </c>
      <c r="X443" s="160">
        <v>0</v>
      </c>
      <c r="Y443" s="160">
        <v>250000</v>
      </c>
      <c r="Z443" s="160">
        <f>ROUND(O443*1.5%,2)</f>
        <v>133255.01</v>
      </c>
      <c r="AA443" s="160">
        <v>0</v>
      </c>
      <c r="AB443" s="150">
        <v>2028</v>
      </c>
      <c r="AC443" s="150">
        <v>2028</v>
      </c>
      <c r="AD443" s="150">
        <v>2028</v>
      </c>
    </row>
    <row r="444" spans="1:30" x14ac:dyDescent="0.3">
      <c r="A444" s="121">
        <v>1</v>
      </c>
      <c r="B444" s="148">
        <f>SUBTOTAL(9,$A$370:A444)</f>
        <v>70</v>
      </c>
      <c r="C444" s="154" t="s">
        <v>373</v>
      </c>
      <c r="D444" s="163" t="s">
        <v>610</v>
      </c>
      <c r="E444" s="144">
        <f t="shared" si="134"/>
        <v>10155608</v>
      </c>
      <c r="F444" s="160">
        <v>0</v>
      </c>
      <c r="G444" s="160">
        <v>0</v>
      </c>
      <c r="H444" s="160">
        <v>0</v>
      </c>
      <c r="I444" s="160">
        <v>0</v>
      </c>
      <c r="J444" s="160">
        <v>0</v>
      </c>
      <c r="K444" s="160">
        <v>0</v>
      </c>
      <c r="L444" s="162">
        <v>0</v>
      </c>
      <c r="M444" s="160">
        <v>0</v>
      </c>
      <c r="N444" s="160">
        <v>800</v>
      </c>
      <c r="O444" s="160">
        <v>9759219.6999999993</v>
      </c>
      <c r="P444" s="160">
        <v>0</v>
      </c>
      <c r="Q444" s="160">
        <v>0</v>
      </c>
      <c r="R444" s="160">
        <v>0</v>
      </c>
      <c r="S444" s="160">
        <v>0</v>
      </c>
      <c r="T444" s="160">
        <v>0</v>
      </c>
      <c r="U444" s="160">
        <v>0</v>
      </c>
      <c r="V444" s="160">
        <v>0</v>
      </c>
      <c r="W444" s="160">
        <v>0</v>
      </c>
      <c r="X444" s="160">
        <v>0</v>
      </c>
      <c r="Y444" s="160">
        <v>250000</v>
      </c>
      <c r="Z444" s="160">
        <f>ROUND(O444*1.5%,2)</f>
        <v>146388.29999999999</v>
      </c>
      <c r="AA444" s="160">
        <v>0</v>
      </c>
      <c r="AB444" s="150">
        <v>2028</v>
      </c>
      <c r="AC444" s="150">
        <v>2028</v>
      </c>
      <c r="AD444" s="150">
        <v>2028</v>
      </c>
    </row>
    <row r="445" spans="1:30" x14ac:dyDescent="0.3">
      <c r="B445" s="147" t="s">
        <v>506</v>
      </c>
      <c r="C445" s="147"/>
      <c r="D445" s="172"/>
      <c r="E445" s="153">
        <f>E446</f>
        <v>6652275.6299999999</v>
      </c>
      <c r="F445" s="153">
        <f t="shared" ref="F445:AA445" si="135">F446</f>
        <v>0</v>
      </c>
      <c r="G445" s="153">
        <f t="shared" si="135"/>
        <v>0</v>
      </c>
      <c r="H445" s="153">
        <f t="shared" si="135"/>
        <v>0</v>
      </c>
      <c r="I445" s="153">
        <f t="shared" si="135"/>
        <v>0</v>
      </c>
      <c r="J445" s="153">
        <f t="shared" si="135"/>
        <v>0</v>
      </c>
      <c r="K445" s="153">
        <f t="shared" si="135"/>
        <v>0</v>
      </c>
      <c r="L445" s="173">
        <f t="shared" si="135"/>
        <v>0</v>
      </c>
      <c r="M445" s="153">
        <f t="shared" si="135"/>
        <v>0</v>
      </c>
      <c r="N445" s="153">
        <f t="shared" si="135"/>
        <v>370.5</v>
      </c>
      <c r="O445" s="153">
        <f t="shared" si="135"/>
        <v>6356921.7999999998</v>
      </c>
      <c r="P445" s="153">
        <f t="shared" si="135"/>
        <v>0</v>
      </c>
      <c r="Q445" s="153">
        <f t="shared" si="135"/>
        <v>0</v>
      </c>
      <c r="R445" s="153">
        <f t="shared" si="135"/>
        <v>0</v>
      </c>
      <c r="S445" s="153">
        <f t="shared" si="135"/>
        <v>0</v>
      </c>
      <c r="T445" s="153">
        <f t="shared" si="135"/>
        <v>0</v>
      </c>
      <c r="U445" s="153">
        <f t="shared" si="135"/>
        <v>0</v>
      </c>
      <c r="V445" s="153">
        <f t="shared" si="135"/>
        <v>0</v>
      </c>
      <c r="W445" s="153">
        <f t="shared" si="135"/>
        <v>0</v>
      </c>
      <c r="X445" s="153">
        <f t="shared" si="135"/>
        <v>0</v>
      </c>
      <c r="Y445" s="153">
        <f t="shared" si="135"/>
        <v>200000</v>
      </c>
      <c r="Z445" s="153">
        <f t="shared" si="135"/>
        <v>95353.83</v>
      </c>
      <c r="AA445" s="153">
        <f t="shared" si="135"/>
        <v>0</v>
      </c>
      <c r="AB445" s="146" t="s">
        <v>422</v>
      </c>
      <c r="AC445" s="146" t="s">
        <v>422</v>
      </c>
      <c r="AD445" s="146" t="s">
        <v>422</v>
      </c>
    </row>
    <row r="446" spans="1:30" x14ac:dyDescent="0.3">
      <c r="A446" s="121">
        <v>1</v>
      </c>
      <c r="B446" s="148">
        <f>SUBTOTAL(9,$A$370:A446)</f>
        <v>71</v>
      </c>
      <c r="C446" s="154" t="s">
        <v>372</v>
      </c>
      <c r="D446" s="163" t="s">
        <v>610</v>
      </c>
      <c r="E446" s="144">
        <f t="shared" si="134"/>
        <v>6652275.6299999999</v>
      </c>
      <c r="F446" s="160">
        <v>0</v>
      </c>
      <c r="G446" s="160">
        <v>0</v>
      </c>
      <c r="H446" s="160">
        <v>0</v>
      </c>
      <c r="I446" s="160">
        <v>0</v>
      </c>
      <c r="J446" s="160">
        <v>0</v>
      </c>
      <c r="K446" s="160">
        <v>0</v>
      </c>
      <c r="L446" s="162">
        <v>0</v>
      </c>
      <c r="M446" s="160">
        <v>0</v>
      </c>
      <c r="N446" s="160">
        <v>370.5</v>
      </c>
      <c r="O446" s="160">
        <v>6356921.7999999998</v>
      </c>
      <c r="P446" s="160">
        <v>0</v>
      </c>
      <c r="Q446" s="160">
        <v>0</v>
      </c>
      <c r="R446" s="160">
        <v>0</v>
      </c>
      <c r="S446" s="160">
        <v>0</v>
      </c>
      <c r="T446" s="160">
        <v>0</v>
      </c>
      <c r="U446" s="160">
        <v>0</v>
      </c>
      <c r="V446" s="160">
        <v>0</v>
      </c>
      <c r="W446" s="160">
        <v>0</v>
      </c>
      <c r="X446" s="160">
        <v>0</v>
      </c>
      <c r="Y446" s="160">
        <v>200000</v>
      </c>
      <c r="Z446" s="160">
        <f>ROUND(O446*1.5%,2)</f>
        <v>95353.83</v>
      </c>
      <c r="AA446" s="160">
        <v>0</v>
      </c>
      <c r="AB446" s="150">
        <v>2028</v>
      </c>
      <c r="AC446" s="150">
        <v>2028</v>
      </c>
      <c r="AD446" s="150">
        <v>2028</v>
      </c>
    </row>
    <row r="447" spans="1:30" x14ac:dyDescent="0.3">
      <c r="B447" s="147" t="s">
        <v>508</v>
      </c>
      <c r="C447" s="147"/>
      <c r="D447" s="172"/>
      <c r="E447" s="153">
        <f>E448</f>
        <v>11298113.899999999</v>
      </c>
      <c r="F447" s="153">
        <f t="shared" ref="F447:AA447" si="136">F448</f>
        <v>0</v>
      </c>
      <c r="G447" s="153">
        <f t="shared" si="136"/>
        <v>0</v>
      </c>
      <c r="H447" s="153">
        <f t="shared" si="136"/>
        <v>0</v>
      </c>
      <c r="I447" s="153">
        <f t="shared" si="136"/>
        <v>0</v>
      </c>
      <c r="J447" s="153">
        <f t="shared" si="136"/>
        <v>0</v>
      </c>
      <c r="K447" s="153">
        <f t="shared" si="136"/>
        <v>0</v>
      </c>
      <c r="L447" s="173">
        <f t="shared" si="136"/>
        <v>0</v>
      </c>
      <c r="M447" s="153">
        <f t="shared" si="136"/>
        <v>0</v>
      </c>
      <c r="N447" s="153">
        <f t="shared" si="136"/>
        <v>890</v>
      </c>
      <c r="O447" s="153">
        <f t="shared" si="136"/>
        <v>10884841.279999999</v>
      </c>
      <c r="P447" s="153">
        <f t="shared" si="136"/>
        <v>0</v>
      </c>
      <c r="Q447" s="153">
        <f t="shared" si="136"/>
        <v>0</v>
      </c>
      <c r="R447" s="153">
        <f t="shared" si="136"/>
        <v>0</v>
      </c>
      <c r="S447" s="153">
        <f t="shared" si="136"/>
        <v>0</v>
      </c>
      <c r="T447" s="153">
        <f t="shared" si="136"/>
        <v>0</v>
      </c>
      <c r="U447" s="153">
        <f t="shared" si="136"/>
        <v>0</v>
      </c>
      <c r="V447" s="153">
        <f t="shared" si="136"/>
        <v>0</v>
      </c>
      <c r="W447" s="153">
        <f t="shared" si="136"/>
        <v>0</v>
      </c>
      <c r="X447" s="153">
        <f t="shared" si="136"/>
        <v>0</v>
      </c>
      <c r="Y447" s="153">
        <f t="shared" si="136"/>
        <v>250000</v>
      </c>
      <c r="Z447" s="153">
        <f t="shared" si="136"/>
        <v>163272.62</v>
      </c>
      <c r="AA447" s="153">
        <f t="shared" si="136"/>
        <v>0</v>
      </c>
      <c r="AB447" s="146" t="s">
        <v>422</v>
      </c>
      <c r="AC447" s="146" t="s">
        <v>422</v>
      </c>
      <c r="AD447" s="146" t="s">
        <v>422</v>
      </c>
    </row>
    <row r="448" spans="1:30" x14ac:dyDescent="0.3">
      <c r="A448" s="121">
        <v>1</v>
      </c>
      <c r="B448" s="148">
        <f>SUBTOTAL(9,$A$370:A448)</f>
        <v>72</v>
      </c>
      <c r="C448" s="154" t="s">
        <v>378</v>
      </c>
      <c r="D448" s="163" t="s">
        <v>610</v>
      </c>
      <c r="E448" s="144">
        <f t="shared" si="134"/>
        <v>11298113.899999999</v>
      </c>
      <c r="F448" s="160">
        <v>0</v>
      </c>
      <c r="G448" s="160">
        <v>0</v>
      </c>
      <c r="H448" s="160">
        <v>0</v>
      </c>
      <c r="I448" s="160">
        <v>0</v>
      </c>
      <c r="J448" s="160">
        <v>0</v>
      </c>
      <c r="K448" s="160">
        <v>0</v>
      </c>
      <c r="L448" s="162">
        <v>0</v>
      </c>
      <c r="M448" s="160">
        <v>0</v>
      </c>
      <c r="N448" s="160">
        <v>890</v>
      </c>
      <c r="O448" s="160">
        <v>10884841.279999999</v>
      </c>
      <c r="P448" s="160">
        <v>0</v>
      </c>
      <c r="Q448" s="160">
        <v>0</v>
      </c>
      <c r="R448" s="160">
        <v>0</v>
      </c>
      <c r="S448" s="160">
        <v>0</v>
      </c>
      <c r="T448" s="160">
        <v>0</v>
      </c>
      <c r="U448" s="160">
        <v>0</v>
      </c>
      <c r="V448" s="160">
        <v>0</v>
      </c>
      <c r="W448" s="160">
        <v>0</v>
      </c>
      <c r="X448" s="160">
        <v>0</v>
      </c>
      <c r="Y448" s="160">
        <v>250000</v>
      </c>
      <c r="Z448" s="160">
        <f>ROUND(O448*1.5%,2)</f>
        <v>163272.62</v>
      </c>
      <c r="AA448" s="160">
        <v>0</v>
      </c>
      <c r="AB448" s="150">
        <v>2028</v>
      </c>
      <c r="AC448" s="150">
        <v>2028</v>
      </c>
      <c r="AD448" s="150">
        <v>2028</v>
      </c>
    </row>
    <row r="449" spans="1:30" x14ac:dyDescent="0.3">
      <c r="B449" s="141" t="s">
        <v>690</v>
      </c>
      <c r="C449" s="142"/>
      <c r="D449" s="143"/>
      <c r="E449" s="144">
        <f>E450+E451</f>
        <v>30289101</v>
      </c>
      <c r="F449" s="144">
        <f t="shared" ref="F449:AA449" si="137">F450+F451</f>
        <v>0</v>
      </c>
      <c r="G449" s="144">
        <f t="shared" si="137"/>
        <v>0</v>
      </c>
      <c r="H449" s="144">
        <f t="shared" si="137"/>
        <v>0</v>
      </c>
      <c r="I449" s="144">
        <f t="shared" si="137"/>
        <v>0</v>
      </c>
      <c r="J449" s="144">
        <f t="shared" si="137"/>
        <v>0</v>
      </c>
      <c r="K449" s="144">
        <f t="shared" si="137"/>
        <v>0</v>
      </c>
      <c r="L449" s="145">
        <f t="shared" si="137"/>
        <v>0</v>
      </c>
      <c r="M449" s="144">
        <f t="shared" si="137"/>
        <v>0</v>
      </c>
      <c r="N449" s="144">
        <f t="shared" si="137"/>
        <v>2386</v>
      </c>
      <c r="O449" s="144">
        <f t="shared" si="137"/>
        <v>29398129.060000002</v>
      </c>
      <c r="P449" s="144">
        <f t="shared" si="137"/>
        <v>0</v>
      </c>
      <c r="Q449" s="144">
        <f t="shared" si="137"/>
        <v>0</v>
      </c>
      <c r="R449" s="144">
        <f t="shared" si="137"/>
        <v>0</v>
      </c>
      <c r="S449" s="144">
        <f t="shared" si="137"/>
        <v>0</v>
      </c>
      <c r="T449" s="144">
        <f t="shared" si="137"/>
        <v>0</v>
      </c>
      <c r="U449" s="144">
        <f t="shared" si="137"/>
        <v>0</v>
      </c>
      <c r="V449" s="144">
        <f t="shared" si="137"/>
        <v>0</v>
      </c>
      <c r="W449" s="144">
        <f t="shared" si="137"/>
        <v>0</v>
      </c>
      <c r="X449" s="144">
        <f t="shared" si="137"/>
        <v>0</v>
      </c>
      <c r="Y449" s="144">
        <f t="shared" si="137"/>
        <v>450000</v>
      </c>
      <c r="Z449" s="144">
        <f t="shared" si="137"/>
        <v>440971.94</v>
      </c>
      <c r="AA449" s="144">
        <f t="shared" si="137"/>
        <v>0</v>
      </c>
      <c r="AB449" s="146" t="s">
        <v>422</v>
      </c>
      <c r="AC449" s="146" t="s">
        <v>422</v>
      </c>
      <c r="AD449" s="146" t="s">
        <v>422</v>
      </c>
    </row>
    <row r="450" spans="1:30" s="183" customFormat="1" x14ac:dyDescent="0.3">
      <c r="A450" s="121">
        <v>1</v>
      </c>
      <c r="B450" s="148">
        <f>SUBTOTAL(9,$A$370:A450)</f>
        <v>73</v>
      </c>
      <c r="C450" s="154" t="s">
        <v>173</v>
      </c>
      <c r="D450" s="163" t="s">
        <v>611</v>
      </c>
      <c r="E450" s="144">
        <f t="shared" ref="E450:E451" si="138">F450+G450+H450+I450+J450+K450+M450+O450+Q450+S450+U450+V450+W450+X450+Z450+AA450+Y450</f>
        <v>19333739</v>
      </c>
      <c r="F450" s="155">
        <v>0</v>
      </c>
      <c r="G450" s="155">
        <v>0</v>
      </c>
      <c r="H450" s="155">
        <v>0</v>
      </c>
      <c r="I450" s="155">
        <v>0</v>
      </c>
      <c r="J450" s="155">
        <v>0</v>
      </c>
      <c r="K450" s="155">
        <v>0</v>
      </c>
      <c r="L450" s="166">
        <v>0</v>
      </c>
      <c r="M450" s="155">
        <v>0</v>
      </c>
      <c r="N450" s="153">
        <v>1523</v>
      </c>
      <c r="O450" s="153">
        <v>18801713.300000001</v>
      </c>
      <c r="P450" s="153">
        <v>0</v>
      </c>
      <c r="Q450" s="155">
        <v>0</v>
      </c>
      <c r="R450" s="155">
        <v>0</v>
      </c>
      <c r="S450" s="155">
        <v>0</v>
      </c>
      <c r="T450" s="155">
        <v>0</v>
      </c>
      <c r="U450" s="155">
        <v>0</v>
      </c>
      <c r="V450" s="155">
        <v>0</v>
      </c>
      <c r="W450" s="155">
        <v>0</v>
      </c>
      <c r="X450" s="155">
        <v>0</v>
      </c>
      <c r="Y450" s="160">
        <v>250000</v>
      </c>
      <c r="Z450" s="160">
        <f t="shared" ref="Z450:Z451" si="139">ROUND(O450*1.5%,2)</f>
        <v>282025.7</v>
      </c>
      <c r="AA450" s="155">
        <v>0</v>
      </c>
      <c r="AB450" s="150">
        <v>2028</v>
      </c>
      <c r="AC450" s="150">
        <v>2028</v>
      </c>
      <c r="AD450" s="150">
        <v>2028</v>
      </c>
    </row>
    <row r="451" spans="1:30" s="183" customFormat="1" x14ac:dyDescent="0.3">
      <c r="A451" s="121">
        <v>1</v>
      </c>
      <c r="B451" s="148">
        <f>SUBTOTAL(9,$A$370:A451)</f>
        <v>74</v>
      </c>
      <c r="C451" s="154" t="s">
        <v>174</v>
      </c>
      <c r="D451" s="163" t="s">
        <v>611</v>
      </c>
      <c r="E451" s="144">
        <f t="shared" si="138"/>
        <v>10955362</v>
      </c>
      <c r="F451" s="155">
        <v>0</v>
      </c>
      <c r="G451" s="155">
        <v>0</v>
      </c>
      <c r="H451" s="155">
        <v>0</v>
      </c>
      <c r="I451" s="155">
        <v>0</v>
      </c>
      <c r="J451" s="155">
        <v>0</v>
      </c>
      <c r="K451" s="155">
        <v>0</v>
      </c>
      <c r="L451" s="166">
        <v>0</v>
      </c>
      <c r="M451" s="155">
        <v>0</v>
      </c>
      <c r="N451" s="153">
        <v>863</v>
      </c>
      <c r="O451" s="153">
        <v>10596415.76</v>
      </c>
      <c r="P451" s="153">
        <v>0</v>
      </c>
      <c r="Q451" s="155">
        <v>0</v>
      </c>
      <c r="R451" s="155">
        <v>0</v>
      </c>
      <c r="S451" s="155">
        <v>0</v>
      </c>
      <c r="T451" s="155">
        <v>0</v>
      </c>
      <c r="U451" s="155">
        <v>0</v>
      </c>
      <c r="V451" s="155">
        <v>0</v>
      </c>
      <c r="W451" s="155">
        <v>0</v>
      </c>
      <c r="X451" s="155">
        <v>0</v>
      </c>
      <c r="Y451" s="160">
        <v>200000</v>
      </c>
      <c r="Z451" s="160">
        <f t="shared" si="139"/>
        <v>158946.23999999999</v>
      </c>
      <c r="AA451" s="155">
        <v>0</v>
      </c>
      <c r="AB451" s="150">
        <v>2028</v>
      </c>
      <c r="AC451" s="150">
        <v>2028</v>
      </c>
      <c r="AD451" s="150">
        <v>2028</v>
      </c>
    </row>
    <row r="452" spans="1:30" x14ac:dyDescent="0.3">
      <c r="B452" s="141" t="s">
        <v>689</v>
      </c>
      <c r="C452" s="141"/>
      <c r="D452" s="171"/>
      <c r="E452" s="170">
        <f>E453+E454</f>
        <v>14357909.359999999</v>
      </c>
      <c r="F452" s="170">
        <f t="shared" ref="F452:AA452" si="140">F453+F454</f>
        <v>0</v>
      </c>
      <c r="G452" s="170">
        <f t="shared" si="140"/>
        <v>0</v>
      </c>
      <c r="H452" s="170">
        <f t="shared" si="140"/>
        <v>0</v>
      </c>
      <c r="I452" s="170">
        <f t="shared" si="140"/>
        <v>0</v>
      </c>
      <c r="J452" s="170">
        <f t="shared" si="140"/>
        <v>0</v>
      </c>
      <c r="K452" s="170">
        <f t="shared" si="140"/>
        <v>0</v>
      </c>
      <c r="L452" s="141">
        <f t="shared" si="140"/>
        <v>0</v>
      </c>
      <c r="M452" s="170">
        <f t="shared" si="140"/>
        <v>0</v>
      </c>
      <c r="N452" s="170">
        <f t="shared" si="140"/>
        <v>830</v>
      </c>
      <c r="O452" s="170">
        <f t="shared" si="140"/>
        <v>13751634.84</v>
      </c>
      <c r="P452" s="170">
        <f t="shared" si="140"/>
        <v>0</v>
      </c>
      <c r="Q452" s="170">
        <f t="shared" si="140"/>
        <v>0</v>
      </c>
      <c r="R452" s="170">
        <f t="shared" si="140"/>
        <v>0</v>
      </c>
      <c r="S452" s="170">
        <f t="shared" si="140"/>
        <v>0</v>
      </c>
      <c r="T452" s="170">
        <f t="shared" si="140"/>
        <v>0</v>
      </c>
      <c r="U452" s="170">
        <f t="shared" si="140"/>
        <v>0</v>
      </c>
      <c r="V452" s="170">
        <f t="shared" si="140"/>
        <v>0</v>
      </c>
      <c r="W452" s="170">
        <f t="shared" si="140"/>
        <v>0</v>
      </c>
      <c r="X452" s="170">
        <f t="shared" si="140"/>
        <v>0</v>
      </c>
      <c r="Y452" s="170">
        <f t="shared" si="140"/>
        <v>400000</v>
      </c>
      <c r="Z452" s="170">
        <f t="shared" si="140"/>
        <v>206274.52000000002</v>
      </c>
      <c r="AA452" s="170">
        <f t="shared" si="140"/>
        <v>0</v>
      </c>
      <c r="AB452" s="146" t="s">
        <v>422</v>
      </c>
      <c r="AC452" s="146" t="s">
        <v>422</v>
      </c>
      <c r="AD452" s="146" t="s">
        <v>422</v>
      </c>
    </row>
    <row r="453" spans="1:30" x14ac:dyDescent="0.3">
      <c r="A453" s="121">
        <v>1</v>
      </c>
      <c r="B453" s="148">
        <f>SUBTOTAL(9,$A$370:A453)</f>
        <v>75</v>
      </c>
      <c r="C453" s="154" t="s">
        <v>180</v>
      </c>
      <c r="D453" s="163" t="s">
        <v>612</v>
      </c>
      <c r="E453" s="144">
        <f>F453+G453+H453+I453+J453+K453+M453+O453+Q453+S453+U453+V453+W453+X453+Z453+AA453+Y453</f>
        <v>6284201</v>
      </c>
      <c r="F453" s="160">
        <v>0</v>
      </c>
      <c r="G453" s="160">
        <v>0</v>
      </c>
      <c r="H453" s="160">
        <v>0</v>
      </c>
      <c r="I453" s="160">
        <v>0</v>
      </c>
      <c r="J453" s="160">
        <v>0</v>
      </c>
      <c r="K453" s="160">
        <v>0</v>
      </c>
      <c r="L453" s="162">
        <v>0</v>
      </c>
      <c r="M453" s="160">
        <v>0</v>
      </c>
      <c r="N453" s="153">
        <v>350</v>
      </c>
      <c r="O453" s="153">
        <v>5994286.7000000002</v>
      </c>
      <c r="P453" s="160">
        <v>0</v>
      </c>
      <c r="Q453" s="160">
        <v>0</v>
      </c>
      <c r="R453" s="160">
        <v>0</v>
      </c>
      <c r="S453" s="160">
        <v>0</v>
      </c>
      <c r="T453" s="160">
        <v>0</v>
      </c>
      <c r="U453" s="160">
        <v>0</v>
      </c>
      <c r="V453" s="160">
        <v>0</v>
      </c>
      <c r="W453" s="160">
        <v>0</v>
      </c>
      <c r="X453" s="160">
        <v>0</v>
      </c>
      <c r="Y453" s="160">
        <v>200000</v>
      </c>
      <c r="Z453" s="160">
        <f>ROUND(O453*1.5%,2)</f>
        <v>89914.3</v>
      </c>
      <c r="AA453" s="160">
        <v>0</v>
      </c>
      <c r="AB453" s="150">
        <v>2028</v>
      </c>
      <c r="AC453" s="150">
        <v>2028</v>
      </c>
      <c r="AD453" s="150">
        <v>2028</v>
      </c>
    </row>
    <row r="454" spans="1:30" x14ac:dyDescent="0.3">
      <c r="A454" s="121">
        <v>1</v>
      </c>
      <c r="B454" s="148">
        <f>SUBTOTAL(9,$A$370:A454)</f>
        <v>76</v>
      </c>
      <c r="C454" s="154" t="s">
        <v>381</v>
      </c>
      <c r="D454" s="163" t="s">
        <v>612</v>
      </c>
      <c r="E454" s="144">
        <f>F454+G454+H454+I454+J454+K454+M454+O454+Q454+S454+U454+V454+W454+X454+Z454+AA454+Y454</f>
        <v>8073708.3599999994</v>
      </c>
      <c r="F454" s="160">
        <v>0</v>
      </c>
      <c r="G454" s="160">
        <v>0</v>
      </c>
      <c r="H454" s="160">
        <v>0</v>
      </c>
      <c r="I454" s="160">
        <v>0</v>
      </c>
      <c r="J454" s="160">
        <v>0</v>
      </c>
      <c r="K454" s="160">
        <v>0</v>
      </c>
      <c r="L454" s="162">
        <v>0</v>
      </c>
      <c r="M454" s="160">
        <v>0</v>
      </c>
      <c r="N454" s="153">
        <v>480</v>
      </c>
      <c r="O454" s="153">
        <v>7757348.1399999997</v>
      </c>
      <c r="P454" s="160">
        <v>0</v>
      </c>
      <c r="Q454" s="160">
        <v>0</v>
      </c>
      <c r="R454" s="160">
        <v>0</v>
      </c>
      <c r="S454" s="160">
        <v>0</v>
      </c>
      <c r="T454" s="160">
        <v>0</v>
      </c>
      <c r="U454" s="160">
        <v>0</v>
      </c>
      <c r="V454" s="160">
        <v>0</v>
      </c>
      <c r="W454" s="160">
        <v>0</v>
      </c>
      <c r="X454" s="160">
        <v>0</v>
      </c>
      <c r="Y454" s="160">
        <v>200000</v>
      </c>
      <c r="Z454" s="160">
        <f>ROUND(O454*1.5%,2)</f>
        <v>116360.22</v>
      </c>
      <c r="AA454" s="160">
        <v>0</v>
      </c>
      <c r="AB454" s="150">
        <v>2028</v>
      </c>
      <c r="AC454" s="150">
        <v>2028</v>
      </c>
      <c r="AD454" s="150">
        <v>2028</v>
      </c>
    </row>
    <row r="455" spans="1:30" x14ac:dyDescent="0.3">
      <c r="B455" s="141" t="s">
        <v>686</v>
      </c>
      <c r="C455" s="141"/>
      <c r="D455" s="171"/>
      <c r="E455" s="170">
        <f>E456</f>
        <v>7616706</v>
      </c>
      <c r="F455" s="160">
        <f t="shared" ref="F455:AA455" si="141">F456</f>
        <v>0</v>
      </c>
      <c r="G455" s="160">
        <f t="shared" si="141"/>
        <v>0</v>
      </c>
      <c r="H455" s="160">
        <f t="shared" si="141"/>
        <v>0</v>
      </c>
      <c r="I455" s="160">
        <f t="shared" si="141"/>
        <v>0</v>
      </c>
      <c r="J455" s="160">
        <f t="shared" si="141"/>
        <v>0</v>
      </c>
      <c r="K455" s="160">
        <f t="shared" si="141"/>
        <v>0</v>
      </c>
      <c r="L455" s="162">
        <f t="shared" si="141"/>
        <v>0</v>
      </c>
      <c r="M455" s="160">
        <f t="shared" si="141"/>
        <v>0</v>
      </c>
      <c r="N455" s="160">
        <f t="shared" si="141"/>
        <v>600</v>
      </c>
      <c r="O455" s="160">
        <f t="shared" si="141"/>
        <v>7307099.5099999998</v>
      </c>
      <c r="P455" s="160">
        <f t="shared" si="141"/>
        <v>0</v>
      </c>
      <c r="Q455" s="160">
        <f t="shared" si="141"/>
        <v>0</v>
      </c>
      <c r="R455" s="160">
        <f t="shared" si="141"/>
        <v>0</v>
      </c>
      <c r="S455" s="160">
        <f t="shared" si="141"/>
        <v>0</v>
      </c>
      <c r="T455" s="160">
        <f t="shared" si="141"/>
        <v>0</v>
      </c>
      <c r="U455" s="160">
        <f t="shared" si="141"/>
        <v>0</v>
      </c>
      <c r="V455" s="160">
        <f t="shared" si="141"/>
        <v>0</v>
      </c>
      <c r="W455" s="160">
        <f t="shared" si="141"/>
        <v>0</v>
      </c>
      <c r="X455" s="160">
        <f t="shared" si="141"/>
        <v>0</v>
      </c>
      <c r="Y455" s="160">
        <f t="shared" si="141"/>
        <v>200000</v>
      </c>
      <c r="Z455" s="160">
        <f t="shared" si="141"/>
        <v>109606.49</v>
      </c>
      <c r="AA455" s="160">
        <f t="shared" si="141"/>
        <v>0</v>
      </c>
      <c r="AB455" s="146" t="s">
        <v>422</v>
      </c>
      <c r="AC455" s="146" t="s">
        <v>422</v>
      </c>
      <c r="AD455" s="146" t="s">
        <v>422</v>
      </c>
    </row>
    <row r="456" spans="1:30" x14ac:dyDescent="0.3">
      <c r="A456" s="121">
        <v>1</v>
      </c>
      <c r="B456" s="148">
        <f>SUBTOTAL(9,$A$370:A456)</f>
        <v>77</v>
      </c>
      <c r="C456" s="154" t="s">
        <v>181</v>
      </c>
      <c r="D456" s="163" t="s">
        <v>613</v>
      </c>
      <c r="E456" s="144">
        <f>F456+G456+H456+I456+J456+K456+M456+O456+Q456+S456+U456+V456+W456+X456+Z456+AA456+Y456</f>
        <v>7616706</v>
      </c>
      <c r="F456" s="160">
        <v>0</v>
      </c>
      <c r="G456" s="160">
        <v>0</v>
      </c>
      <c r="H456" s="160">
        <v>0</v>
      </c>
      <c r="I456" s="160">
        <v>0</v>
      </c>
      <c r="J456" s="160">
        <v>0</v>
      </c>
      <c r="K456" s="160">
        <v>0</v>
      </c>
      <c r="L456" s="162">
        <v>0</v>
      </c>
      <c r="M456" s="160">
        <v>0</v>
      </c>
      <c r="N456" s="153">
        <v>600</v>
      </c>
      <c r="O456" s="153">
        <v>7307099.5099999998</v>
      </c>
      <c r="P456" s="160">
        <v>0</v>
      </c>
      <c r="Q456" s="160">
        <v>0</v>
      </c>
      <c r="R456" s="160">
        <v>0</v>
      </c>
      <c r="S456" s="160">
        <v>0</v>
      </c>
      <c r="T456" s="160">
        <v>0</v>
      </c>
      <c r="U456" s="160">
        <v>0</v>
      </c>
      <c r="V456" s="160">
        <v>0</v>
      </c>
      <c r="W456" s="160">
        <v>0</v>
      </c>
      <c r="X456" s="160">
        <v>0</v>
      </c>
      <c r="Y456" s="160">
        <v>200000</v>
      </c>
      <c r="Z456" s="160">
        <f>ROUND(O456*1.5%,2)</f>
        <v>109606.49</v>
      </c>
      <c r="AA456" s="160">
        <v>0</v>
      </c>
      <c r="AB456" s="150">
        <v>2028</v>
      </c>
      <c r="AC456" s="150">
        <v>2028</v>
      </c>
      <c r="AD456" s="150">
        <v>2028</v>
      </c>
    </row>
    <row r="457" spans="1:30" x14ac:dyDescent="0.3">
      <c r="B457" s="141" t="s">
        <v>692</v>
      </c>
      <c r="C457" s="141"/>
      <c r="D457" s="171"/>
      <c r="E457" s="170">
        <f>SUM(E458:E464)</f>
        <v>59404379.280000001</v>
      </c>
      <c r="F457" s="170">
        <f t="shared" ref="F457:AA457" si="142">SUM(F458:F464)</f>
        <v>0</v>
      </c>
      <c r="G457" s="170">
        <f t="shared" si="142"/>
        <v>0</v>
      </c>
      <c r="H457" s="170">
        <f t="shared" si="142"/>
        <v>0</v>
      </c>
      <c r="I457" s="170">
        <f t="shared" si="142"/>
        <v>0</v>
      </c>
      <c r="J457" s="170">
        <f t="shared" si="142"/>
        <v>0</v>
      </c>
      <c r="K457" s="170">
        <f t="shared" si="142"/>
        <v>0</v>
      </c>
      <c r="L457" s="141">
        <f t="shared" si="142"/>
        <v>0</v>
      </c>
      <c r="M457" s="170">
        <f t="shared" si="142"/>
        <v>0</v>
      </c>
      <c r="N457" s="170">
        <f t="shared" si="142"/>
        <v>4489.9799999999996</v>
      </c>
      <c r="O457" s="170">
        <f t="shared" si="142"/>
        <v>57294954.960000008</v>
      </c>
      <c r="P457" s="170">
        <f t="shared" si="142"/>
        <v>0</v>
      </c>
      <c r="Q457" s="170">
        <f t="shared" si="142"/>
        <v>0</v>
      </c>
      <c r="R457" s="170">
        <f t="shared" si="142"/>
        <v>0</v>
      </c>
      <c r="S457" s="170">
        <f t="shared" si="142"/>
        <v>0</v>
      </c>
      <c r="T457" s="170">
        <f t="shared" si="142"/>
        <v>0</v>
      </c>
      <c r="U457" s="170">
        <f t="shared" si="142"/>
        <v>0</v>
      </c>
      <c r="V457" s="170">
        <f t="shared" si="142"/>
        <v>0</v>
      </c>
      <c r="W457" s="170">
        <f t="shared" si="142"/>
        <v>0</v>
      </c>
      <c r="X457" s="170">
        <f t="shared" si="142"/>
        <v>0</v>
      </c>
      <c r="Y457" s="170">
        <f t="shared" si="142"/>
        <v>1250000</v>
      </c>
      <c r="Z457" s="170">
        <f t="shared" si="142"/>
        <v>859424.32000000007</v>
      </c>
      <c r="AA457" s="170">
        <f t="shared" si="142"/>
        <v>0</v>
      </c>
      <c r="AB457" s="146" t="s">
        <v>422</v>
      </c>
      <c r="AC457" s="146" t="s">
        <v>422</v>
      </c>
      <c r="AD457" s="146" t="s">
        <v>422</v>
      </c>
    </row>
    <row r="458" spans="1:30" x14ac:dyDescent="0.3">
      <c r="A458" s="121">
        <v>1</v>
      </c>
      <c r="B458" s="148">
        <f>SUBTOTAL(9,$A$370:A458)</f>
        <v>78</v>
      </c>
      <c r="C458" s="154" t="s">
        <v>191</v>
      </c>
      <c r="D458" s="163" t="s">
        <v>614</v>
      </c>
      <c r="E458" s="144">
        <f t="shared" ref="E458:E462" si="143">F458+G458+H458+I458+J458+K458+M458+O458+Q458+S458+U458+V458+W458+X458+Z458+AA458+Y458</f>
        <v>11856672.34</v>
      </c>
      <c r="F458" s="160">
        <v>0</v>
      </c>
      <c r="G458" s="160">
        <v>0</v>
      </c>
      <c r="H458" s="160">
        <v>0</v>
      </c>
      <c r="I458" s="160">
        <v>0</v>
      </c>
      <c r="J458" s="160">
        <v>0</v>
      </c>
      <c r="K458" s="160">
        <v>0</v>
      </c>
      <c r="L458" s="162">
        <v>0</v>
      </c>
      <c r="M458" s="160">
        <v>0</v>
      </c>
      <c r="N458" s="151">
        <v>934</v>
      </c>
      <c r="O458" s="153">
        <v>11533667.33</v>
      </c>
      <c r="P458" s="160">
        <v>0</v>
      </c>
      <c r="Q458" s="160">
        <v>0</v>
      </c>
      <c r="R458" s="160">
        <v>0</v>
      </c>
      <c r="S458" s="160">
        <v>0</v>
      </c>
      <c r="T458" s="160">
        <v>0</v>
      </c>
      <c r="U458" s="160">
        <v>0</v>
      </c>
      <c r="V458" s="160">
        <v>0</v>
      </c>
      <c r="W458" s="160">
        <v>0</v>
      </c>
      <c r="X458" s="160">
        <v>0</v>
      </c>
      <c r="Y458" s="160">
        <v>150000</v>
      </c>
      <c r="Z458" s="160">
        <f t="shared" ref="Z458:Z462" si="144">ROUND(O458*1.5%,2)</f>
        <v>173005.01</v>
      </c>
      <c r="AA458" s="160">
        <v>0</v>
      </c>
      <c r="AB458" s="150">
        <v>2028</v>
      </c>
      <c r="AC458" s="150">
        <v>2028</v>
      </c>
      <c r="AD458" s="150">
        <v>2028</v>
      </c>
    </row>
    <row r="459" spans="1:30" x14ac:dyDescent="0.3">
      <c r="A459" s="121">
        <v>1</v>
      </c>
      <c r="B459" s="148">
        <f>SUBTOTAL(9,$A$370:A459)</f>
        <v>79</v>
      </c>
      <c r="C459" s="154" t="s">
        <v>192</v>
      </c>
      <c r="D459" s="163" t="s">
        <v>614</v>
      </c>
      <c r="E459" s="144">
        <f t="shared" si="143"/>
        <v>10037572.939999999</v>
      </c>
      <c r="F459" s="160">
        <v>0</v>
      </c>
      <c r="G459" s="160">
        <v>0</v>
      </c>
      <c r="H459" s="160">
        <v>0</v>
      </c>
      <c r="I459" s="160">
        <v>0</v>
      </c>
      <c r="J459" s="160">
        <v>0</v>
      </c>
      <c r="K459" s="160">
        <v>0</v>
      </c>
      <c r="L459" s="162">
        <v>0</v>
      </c>
      <c r="M459" s="160">
        <v>0</v>
      </c>
      <c r="N459" s="151">
        <v>776.1</v>
      </c>
      <c r="O459" s="153">
        <v>9692190.0899999999</v>
      </c>
      <c r="P459" s="160">
        <v>0</v>
      </c>
      <c r="Q459" s="160">
        <v>0</v>
      </c>
      <c r="R459" s="160">
        <v>0</v>
      </c>
      <c r="S459" s="160">
        <v>0</v>
      </c>
      <c r="T459" s="160">
        <v>0</v>
      </c>
      <c r="U459" s="160">
        <v>0</v>
      </c>
      <c r="V459" s="160">
        <v>0</v>
      </c>
      <c r="W459" s="160">
        <v>0</v>
      </c>
      <c r="X459" s="160">
        <v>0</v>
      </c>
      <c r="Y459" s="160">
        <v>200000</v>
      </c>
      <c r="Z459" s="160">
        <f t="shared" si="144"/>
        <v>145382.85</v>
      </c>
      <c r="AA459" s="160">
        <v>0</v>
      </c>
      <c r="AB459" s="150">
        <v>2028</v>
      </c>
      <c r="AC459" s="150">
        <v>2028</v>
      </c>
      <c r="AD459" s="150">
        <v>2028</v>
      </c>
    </row>
    <row r="460" spans="1:30" x14ac:dyDescent="0.3">
      <c r="A460" s="121">
        <v>1</v>
      </c>
      <c r="B460" s="148">
        <f>SUBTOTAL(9,$A$370:A460)</f>
        <v>80</v>
      </c>
      <c r="C460" s="154" t="s">
        <v>193</v>
      </c>
      <c r="D460" s="163" t="s">
        <v>614</v>
      </c>
      <c r="E460" s="144">
        <f t="shared" si="143"/>
        <v>10663388.060000001</v>
      </c>
      <c r="F460" s="160">
        <v>0</v>
      </c>
      <c r="G460" s="160">
        <v>0</v>
      </c>
      <c r="H460" s="160">
        <v>0</v>
      </c>
      <c r="I460" s="160">
        <v>0</v>
      </c>
      <c r="J460" s="160">
        <v>0</v>
      </c>
      <c r="K460" s="160">
        <v>0</v>
      </c>
      <c r="L460" s="162">
        <v>0</v>
      </c>
      <c r="M460" s="160">
        <v>0</v>
      </c>
      <c r="N460" s="151">
        <v>840</v>
      </c>
      <c r="O460" s="153">
        <v>10308756.710000001</v>
      </c>
      <c r="P460" s="160">
        <v>0</v>
      </c>
      <c r="Q460" s="160">
        <v>0</v>
      </c>
      <c r="R460" s="160">
        <v>0</v>
      </c>
      <c r="S460" s="160">
        <v>0</v>
      </c>
      <c r="T460" s="160">
        <v>0</v>
      </c>
      <c r="U460" s="160">
        <v>0</v>
      </c>
      <c r="V460" s="160">
        <v>0</v>
      </c>
      <c r="W460" s="160">
        <v>0</v>
      </c>
      <c r="X460" s="160">
        <v>0</v>
      </c>
      <c r="Y460" s="160">
        <v>200000</v>
      </c>
      <c r="Z460" s="160">
        <f t="shared" si="144"/>
        <v>154631.35</v>
      </c>
      <c r="AA460" s="160">
        <v>0</v>
      </c>
      <c r="AB460" s="150">
        <v>2028</v>
      </c>
      <c r="AC460" s="150">
        <v>2028</v>
      </c>
      <c r="AD460" s="150">
        <v>2028</v>
      </c>
    </row>
    <row r="461" spans="1:30" x14ac:dyDescent="0.3">
      <c r="A461" s="121">
        <v>1</v>
      </c>
      <c r="B461" s="148">
        <f>SUBTOTAL(9,$A$370:A461)</f>
        <v>81</v>
      </c>
      <c r="C461" s="154" t="s">
        <v>194</v>
      </c>
      <c r="D461" s="163" t="s">
        <v>614</v>
      </c>
      <c r="E461" s="144">
        <f t="shared" si="143"/>
        <v>11332135.190000001</v>
      </c>
      <c r="F461" s="160">
        <v>0</v>
      </c>
      <c r="G461" s="160">
        <v>0</v>
      </c>
      <c r="H461" s="160">
        <v>0</v>
      </c>
      <c r="I461" s="160">
        <v>0</v>
      </c>
      <c r="J461" s="160">
        <v>0</v>
      </c>
      <c r="K461" s="160">
        <v>0</v>
      </c>
      <c r="L461" s="162">
        <v>0</v>
      </c>
      <c r="M461" s="160">
        <v>0</v>
      </c>
      <c r="N461" s="151">
        <v>892.68</v>
      </c>
      <c r="O461" s="153">
        <v>10967620.880000001</v>
      </c>
      <c r="P461" s="160">
        <v>0</v>
      </c>
      <c r="Q461" s="160">
        <v>0</v>
      </c>
      <c r="R461" s="160">
        <v>0</v>
      </c>
      <c r="S461" s="160">
        <v>0</v>
      </c>
      <c r="T461" s="160">
        <v>0</v>
      </c>
      <c r="U461" s="160">
        <v>0</v>
      </c>
      <c r="V461" s="160">
        <v>0</v>
      </c>
      <c r="W461" s="160">
        <v>0</v>
      </c>
      <c r="X461" s="160">
        <v>0</v>
      </c>
      <c r="Y461" s="160">
        <v>200000</v>
      </c>
      <c r="Z461" s="160">
        <f t="shared" si="144"/>
        <v>164514.31</v>
      </c>
      <c r="AA461" s="160">
        <v>0</v>
      </c>
      <c r="AB461" s="150">
        <v>2028</v>
      </c>
      <c r="AC461" s="150">
        <v>2028</v>
      </c>
      <c r="AD461" s="150">
        <v>2028</v>
      </c>
    </row>
    <row r="462" spans="1:30" x14ac:dyDescent="0.3">
      <c r="A462" s="121">
        <v>1</v>
      </c>
      <c r="B462" s="148">
        <f>SUBTOTAL(9,$A$370:A462)</f>
        <v>82</v>
      </c>
      <c r="C462" s="154" t="s">
        <v>195</v>
      </c>
      <c r="D462" s="163" t="s">
        <v>614</v>
      </c>
      <c r="E462" s="144">
        <f t="shared" si="143"/>
        <v>3744880.45</v>
      </c>
      <c r="F462" s="160">
        <v>0</v>
      </c>
      <c r="G462" s="160">
        <v>0</v>
      </c>
      <c r="H462" s="160">
        <v>0</v>
      </c>
      <c r="I462" s="160">
        <v>0</v>
      </c>
      <c r="J462" s="160">
        <v>0</v>
      </c>
      <c r="K462" s="160">
        <v>0</v>
      </c>
      <c r="L462" s="162">
        <v>0</v>
      </c>
      <c r="M462" s="160">
        <v>0</v>
      </c>
      <c r="N462" s="151">
        <v>295</v>
      </c>
      <c r="O462" s="153">
        <v>3541754.14</v>
      </c>
      <c r="P462" s="160">
        <v>0</v>
      </c>
      <c r="Q462" s="160">
        <v>0</v>
      </c>
      <c r="R462" s="160">
        <v>0</v>
      </c>
      <c r="S462" s="160">
        <v>0</v>
      </c>
      <c r="T462" s="160">
        <v>0</v>
      </c>
      <c r="U462" s="160">
        <v>0</v>
      </c>
      <c r="V462" s="160">
        <v>0</v>
      </c>
      <c r="W462" s="160">
        <v>0</v>
      </c>
      <c r="X462" s="160">
        <v>0</v>
      </c>
      <c r="Y462" s="160">
        <v>150000</v>
      </c>
      <c r="Z462" s="160">
        <f t="shared" si="144"/>
        <v>53126.31</v>
      </c>
      <c r="AA462" s="160">
        <v>0</v>
      </c>
      <c r="AB462" s="150">
        <v>2028</v>
      </c>
      <c r="AC462" s="150">
        <v>2028</v>
      </c>
      <c r="AD462" s="150">
        <v>2028</v>
      </c>
    </row>
    <row r="463" spans="1:30" x14ac:dyDescent="0.3">
      <c r="A463" s="121">
        <v>1</v>
      </c>
      <c r="B463" s="148">
        <f>SUBTOTAL(9,$A$370:A463)</f>
        <v>83</v>
      </c>
      <c r="C463" s="154" t="s">
        <v>196</v>
      </c>
      <c r="D463" s="163" t="s">
        <v>614</v>
      </c>
      <c r="E463" s="144">
        <f>F463+G463+H463+I463+J463+K463+M463+O463+Q463+S463+U463+V463+W463+X463+Z463+AA463+Y463</f>
        <v>4189188.3</v>
      </c>
      <c r="F463" s="160">
        <v>0</v>
      </c>
      <c r="G463" s="160">
        <v>0</v>
      </c>
      <c r="H463" s="160">
        <v>0</v>
      </c>
      <c r="I463" s="160">
        <v>0</v>
      </c>
      <c r="J463" s="160">
        <v>0</v>
      </c>
      <c r="K463" s="160">
        <v>0</v>
      </c>
      <c r="L463" s="162">
        <v>0</v>
      </c>
      <c r="M463" s="160">
        <v>0</v>
      </c>
      <c r="N463" s="153">
        <v>330</v>
      </c>
      <c r="O463" s="153">
        <v>3979495.86</v>
      </c>
      <c r="P463" s="160">
        <v>0</v>
      </c>
      <c r="Q463" s="160">
        <v>0</v>
      </c>
      <c r="R463" s="160">
        <v>0</v>
      </c>
      <c r="S463" s="160">
        <v>0</v>
      </c>
      <c r="T463" s="160">
        <v>0</v>
      </c>
      <c r="U463" s="160">
        <v>0</v>
      </c>
      <c r="V463" s="160">
        <v>0</v>
      </c>
      <c r="W463" s="160">
        <v>0</v>
      </c>
      <c r="X463" s="160">
        <v>0</v>
      </c>
      <c r="Y463" s="160">
        <v>150000</v>
      </c>
      <c r="Z463" s="160">
        <f>ROUND(O463*1.5%,2)</f>
        <v>59692.44</v>
      </c>
      <c r="AA463" s="160">
        <v>0</v>
      </c>
      <c r="AB463" s="150">
        <v>2028</v>
      </c>
      <c r="AC463" s="150">
        <v>2028</v>
      </c>
      <c r="AD463" s="150">
        <v>2028</v>
      </c>
    </row>
    <row r="464" spans="1:30" x14ac:dyDescent="0.3">
      <c r="A464" s="121">
        <v>1</v>
      </c>
      <c r="B464" s="148">
        <f>SUBTOTAL(9,$A$370:A464)</f>
        <v>84</v>
      </c>
      <c r="C464" s="154" t="s">
        <v>197</v>
      </c>
      <c r="D464" s="163" t="s">
        <v>614</v>
      </c>
      <c r="E464" s="144">
        <f>F464+G464+H464+I464+J464+K464+M464+O464+Q464+S464+U464+V464+W464+X464+Z464+AA464+Y464</f>
        <v>7580542</v>
      </c>
      <c r="F464" s="160">
        <v>0</v>
      </c>
      <c r="G464" s="160">
        <v>0</v>
      </c>
      <c r="H464" s="160">
        <v>0</v>
      </c>
      <c r="I464" s="160">
        <v>0</v>
      </c>
      <c r="J464" s="160">
        <v>0</v>
      </c>
      <c r="K464" s="160">
        <v>0</v>
      </c>
      <c r="L464" s="162">
        <v>0</v>
      </c>
      <c r="M464" s="160">
        <v>0</v>
      </c>
      <c r="N464" s="153">
        <v>422.2</v>
      </c>
      <c r="O464" s="153">
        <v>7271469.9500000002</v>
      </c>
      <c r="P464" s="160">
        <v>0</v>
      </c>
      <c r="Q464" s="160">
        <v>0</v>
      </c>
      <c r="R464" s="160">
        <v>0</v>
      </c>
      <c r="S464" s="160">
        <v>0</v>
      </c>
      <c r="T464" s="160">
        <v>0</v>
      </c>
      <c r="U464" s="160">
        <v>0</v>
      </c>
      <c r="V464" s="160">
        <v>0</v>
      </c>
      <c r="W464" s="160">
        <v>0</v>
      </c>
      <c r="X464" s="160">
        <v>0</v>
      </c>
      <c r="Y464" s="160">
        <v>200000</v>
      </c>
      <c r="Z464" s="160">
        <f>ROUND(O464*1.5%,2)</f>
        <v>109072.05</v>
      </c>
      <c r="AA464" s="160">
        <v>0</v>
      </c>
      <c r="AB464" s="150">
        <v>2028</v>
      </c>
      <c r="AC464" s="150">
        <v>2028</v>
      </c>
      <c r="AD464" s="150">
        <v>2028</v>
      </c>
    </row>
    <row r="465" spans="1:30" x14ac:dyDescent="0.3">
      <c r="B465" s="141" t="s">
        <v>696</v>
      </c>
      <c r="C465" s="141"/>
      <c r="D465" s="171"/>
      <c r="E465" s="170">
        <f>SUM(E466:E468)</f>
        <v>27229723.949999999</v>
      </c>
      <c r="F465" s="170">
        <f t="shared" ref="F465:AA465" si="145">SUM(F466:F468)</f>
        <v>0</v>
      </c>
      <c r="G465" s="170">
        <f t="shared" si="145"/>
        <v>0</v>
      </c>
      <c r="H465" s="170">
        <f t="shared" si="145"/>
        <v>0</v>
      </c>
      <c r="I465" s="170">
        <f t="shared" si="145"/>
        <v>0</v>
      </c>
      <c r="J465" s="170">
        <f t="shared" si="145"/>
        <v>0</v>
      </c>
      <c r="K465" s="170">
        <f t="shared" si="145"/>
        <v>0</v>
      </c>
      <c r="L465" s="162">
        <f t="shared" si="145"/>
        <v>0</v>
      </c>
      <c r="M465" s="170">
        <f t="shared" si="145"/>
        <v>0</v>
      </c>
      <c r="N465" s="170">
        <f t="shared" si="145"/>
        <v>2145</v>
      </c>
      <c r="O465" s="170">
        <f t="shared" si="145"/>
        <v>26285442.310000002</v>
      </c>
      <c r="P465" s="170">
        <f t="shared" si="145"/>
        <v>0</v>
      </c>
      <c r="Q465" s="170">
        <f t="shared" si="145"/>
        <v>0</v>
      </c>
      <c r="R465" s="170">
        <f t="shared" si="145"/>
        <v>0</v>
      </c>
      <c r="S465" s="170">
        <f t="shared" si="145"/>
        <v>0</v>
      </c>
      <c r="T465" s="170">
        <f t="shared" si="145"/>
        <v>0</v>
      </c>
      <c r="U465" s="170">
        <f t="shared" si="145"/>
        <v>0</v>
      </c>
      <c r="V465" s="170">
        <f t="shared" si="145"/>
        <v>0</v>
      </c>
      <c r="W465" s="170">
        <f t="shared" si="145"/>
        <v>0</v>
      </c>
      <c r="X465" s="170">
        <f t="shared" si="145"/>
        <v>0</v>
      </c>
      <c r="Y465" s="170">
        <f t="shared" si="145"/>
        <v>550000</v>
      </c>
      <c r="Z465" s="170">
        <f t="shared" si="145"/>
        <v>394281.64</v>
      </c>
      <c r="AA465" s="170">
        <f t="shared" si="145"/>
        <v>0</v>
      </c>
      <c r="AB465" s="146" t="s">
        <v>422</v>
      </c>
      <c r="AC465" s="146" t="s">
        <v>422</v>
      </c>
      <c r="AD465" s="146" t="s">
        <v>422</v>
      </c>
    </row>
    <row r="466" spans="1:30" x14ac:dyDescent="0.3">
      <c r="A466" s="121">
        <v>1</v>
      </c>
      <c r="B466" s="148">
        <f>SUBTOTAL(9,$A$370:A466)</f>
        <v>85</v>
      </c>
      <c r="C466" s="154" t="s">
        <v>204</v>
      </c>
      <c r="D466" s="163" t="s">
        <v>615</v>
      </c>
      <c r="E466" s="144">
        <f>F466+G466+H466+I466+J466+K466+M466+O466+Q466+S466+U466+V466+W466+X466+Z466+AA466+Y466</f>
        <v>4570023.5999999996</v>
      </c>
      <c r="F466" s="160">
        <v>0</v>
      </c>
      <c r="G466" s="160">
        <v>0</v>
      </c>
      <c r="H466" s="160">
        <v>0</v>
      </c>
      <c r="I466" s="160">
        <v>0</v>
      </c>
      <c r="J466" s="160">
        <v>0</v>
      </c>
      <c r="K466" s="160">
        <v>0</v>
      </c>
      <c r="L466" s="162">
        <v>0</v>
      </c>
      <c r="M466" s="160">
        <v>0</v>
      </c>
      <c r="N466" s="151">
        <v>360</v>
      </c>
      <c r="O466" s="153">
        <v>4354703.05</v>
      </c>
      <c r="P466" s="160">
        <v>0</v>
      </c>
      <c r="Q466" s="160">
        <v>0</v>
      </c>
      <c r="R466" s="160">
        <v>0</v>
      </c>
      <c r="S466" s="160">
        <v>0</v>
      </c>
      <c r="T466" s="160">
        <v>0</v>
      </c>
      <c r="U466" s="160">
        <v>0</v>
      </c>
      <c r="V466" s="160">
        <v>0</v>
      </c>
      <c r="W466" s="160">
        <v>0</v>
      </c>
      <c r="X466" s="160">
        <v>0</v>
      </c>
      <c r="Y466" s="160">
        <v>150000</v>
      </c>
      <c r="Z466" s="160">
        <f>ROUND(O466*1.5%,2)</f>
        <v>65320.55</v>
      </c>
      <c r="AA466" s="160">
        <v>0</v>
      </c>
      <c r="AB466" s="150">
        <v>2028</v>
      </c>
      <c r="AC466" s="150">
        <v>2028</v>
      </c>
      <c r="AD466" s="150">
        <v>2028</v>
      </c>
    </row>
    <row r="467" spans="1:30" x14ac:dyDescent="0.3">
      <c r="A467" s="121">
        <v>1</v>
      </c>
      <c r="B467" s="148">
        <f>SUBTOTAL(9,$A$370:A467)</f>
        <v>86</v>
      </c>
      <c r="C467" s="154" t="s">
        <v>205</v>
      </c>
      <c r="D467" s="163" t="s">
        <v>615</v>
      </c>
      <c r="E467" s="144">
        <f>F467+G467+H467+I467+J467+K467+M467+O467+Q467+S467+U467+V467+W467+X467+Z467+AA467+Y467</f>
        <v>11209252.33</v>
      </c>
      <c r="F467" s="160">
        <v>0</v>
      </c>
      <c r="G467" s="160">
        <v>0</v>
      </c>
      <c r="H467" s="160">
        <v>0</v>
      </c>
      <c r="I467" s="160">
        <v>0</v>
      </c>
      <c r="J467" s="160">
        <v>0</v>
      </c>
      <c r="K467" s="160">
        <v>0</v>
      </c>
      <c r="L467" s="162">
        <v>0</v>
      </c>
      <c r="M467" s="160">
        <v>0</v>
      </c>
      <c r="N467" s="151">
        <v>883</v>
      </c>
      <c r="O467" s="153">
        <v>10846554.02</v>
      </c>
      <c r="P467" s="160">
        <v>0</v>
      </c>
      <c r="Q467" s="160">
        <v>0</v>
      </c>
      <c r="R467" s="160">
        <v>0</v>
      </c>
      <c r="S467" s="160">
        <v>0</v>
      </c>
      <c r="T467" s="160">
        <v>0</v>
      </c>
      <c r="U467" s="160">
        <v>0</v>
      </c>
      <c r="V467" s="160">
        <v>0</v>
      </c>
      <c r="W467" s="160">
        <v>0</v>
      </c>
      <c r="X467" s="160">
        <v>0</v>
      </c>
      <c r="Y467" s="160">
        <v>200000</v>
      </c>
      <c r="Z467" s="160">
        <f>ROUND(O467*1.5%,2)</f>
        <v>162698.31</v>
      </c>
      <c r="AA467" s="160">
        <v>0</v>
      </c>
      <c r="AB467" s="150">
        <v>2028</v>
      </c>
      <c r="AC467" s="150">
        <v>2028</v>
      </c>
      <c r="AD467" s="150">
        <v>2028</v>
      </c>
    </row>
    <row r="468" spans="1:30" x14ac:dyDescent="0.3">
      <c r="A468" s="121">
        <v>1</v>
      </c>
      <c r="B468" s="148">
        <f>SUBTOTAL(9,$A$370:A468)</f>
        <v>87</v>
      </c>
      <c r="C468" s="154" t="s">
        <v>206</v>
      </c>
      <c r="D468" s="163" t="s">
        <v>615</v>
      </c>
      <c r="E468" s="144">
        <f>F468+G468+H468+I468+J468+K468+M468+O468+Q468+S468+U468+V468+W468+X468+Z468+AA468+Y468</f>
        <v>11450448.02</v>
      </c>
      <c r="F468" s="160">
        <v>0</v>
      </c>
      <c r="G468" s="160">
        <v>0</v>
      </c>
      <c r="H468" s="160">
        <v>0</v>
      </c>
      <c r="I468" s="160">
        <v>0</v>
      </c>
      <c r="J468" s="160">
        <v>0</v>
      </c>
      <c r="K468" s="160">
        <v>0</v>
      </c>
      <c r="L468" s="162">
        <v>0</v>
      </c>
      <c r="M468" s="160">
        <v>0</v>
      </c>
      <c r="N468" s="151">
        <v>902</v>
      </c>
      <c r="O468" s="153">
        <v>11084185.24</v>
      </c>
      <c r="P468" s="160">
        <v>0</v>
      </c>
      <c r="Q468" s="160">
        <v>0</v>
      </c>
      <c r="R468" s="160">
        <v>0</v>
      </c>
      <c r="S468" s="160">
        <v>0</v>
      </c>
      <c r="T468" s="160">
        <v>0</v>
      </c>
      <c r="U468" s="160">
        <v>0</v>
      </c>
      <c r="V468" s="160">
        <v>0</v>
      </c>
      <c r="W468" s="160">
        <v>0</v>
      </c>
      <c r="X468" s="160">
        <v>0</v>
      </c>
      <c r="Y468" s="160">
        <v>200000</v>
      </c>
      <c r="Z468" s="160">
        <f>ROUND(O468*1.5%,2)</f>
        <v>166262.78</v>
      </c>
      <c r="AA468" s="160">
        <v>0</v>
      </c>
      <c r="AB468" s="150">
        <v>2028</v>
      </c>
      <c r="AC468" s="150">
        <v>2028</v>
      </c>
      <c r="AD468" s="150">
        <v>2028</v>
      </c>
    </row>
    <row r="469" spans="1:30" x14ac:dyDescent="0.3">
      <c r="B469" s="141" t="s">
        <v>667</v>
      </c>
      <c r="C469" s="141"/>
      <c r="D469" s="171"/>
      <c r="E469" s="170">
        <f>E470+E471+E472+E473+E474+E475+E476+E477</f>
        <v>54164763.110000007</v>
      </c>
      <c r="F469" s="170">
        <f t="shared" ref="F469:AA469" si="146">F470+F471+F472+F473+F474+F475+F476+F477</f>
        <v>0</v>
      </c>
      <c r="G469" s="170">
        <f t="shared" si="146"/>
        <v>0</v>
      </c>
      <c r="H469" s="170">
        <f t="shared" si="146"/>
        <v>0</v>
      </c>
      <c r="I469" s="170">
        <f t="shared" si="146"/>
        <v>0</v>
      </c>
      <c r="J469" s="170">
        <f t="shared" si="146"/>
        <v>0</v>
      </c>
      <c r="K469" s="170">
        <f t="shared" si="146"/>
        <v>0</v>
      </c>
      <c r="L469" s="162">
        <f t="shared" si="146"/>
        <v>0</v>
      </c>
      <c r="M469" s="170">
        <f t="shared" si="146"/>
        <v>0</v>
      </c>
      <c r="N469" s="170">
        <f t="shared" si="146"/>
        <v>4700</v>
      </c>
      <c r="O469" s="170">
        <f t="shared" si="146"/>
        <v>52674643.450000003</v>
      </c>
      <c r="P469" s="170">
        <f t="shared" si="146"/>
        <v>0</v>
      </c>
      <c r="Q469" s="170">
        <f t="shared" si="146"/>
        <v>0</v>
      </c>
      <c r="R469" s="170">
        <f t="shared" si="146"/>
        <v>0</v>
      </c>
      <c r="S469" s="170">
        <f t="shared" si="146"/>
        <v>0</v>
      </c>
      <c r="T469" s="170">
        <f t="shared" si="146"/>
        <v>0</v>
      </c>
      <c r="U469" s="170">
        <f t="shared" si="146"/>
        <v>0</v>
      </c>
      <c r="V469" s="170">
        <f t="shared" si="146"/>
        <v>0</v>
      </c>
      <c r="W469" s="170">
        <f t="shared" si="146"/>
        <v>0</v>
      </c>
      <c r="X469" s="170">
        <f t="shared" si="146"/>
        <v>0</v>
      </c>
      <c r="Y469" s="170">
        <f t="shared" si="146"/>
        <v>700000</v>
      </c>
      <c r="Z469" s="170">
        <f t="shared" si="146"/>
        <v>790119.66</v>
      </c>
      <c r="AA469" s="170">
        <f t="shared" si="146"/>
        <v>0</v>
      </c>
      <c r="AB469" s="146" t="s">
        <v>422</v>
      </c>
      <c r="AC469" s="146" t="s">
        <v>422</v>
      </c>
      <c r="AD469" s="146" t="s">
        <v>422</v>
      </c>
    </row>
    <row r="470" spans="1:30" x14ac:dyDescent="0.3">
      <c r="A470" s="121">
        <v>1</v>
      </c>
      <c r="B470" s="148">
        <f>SUBTOTAL(9,$A$370:A470)</f>
        <v>88</v>
      </c>
      <c r="C470" s="154" t="s">
        <v>212</v>
      </c>
      <c r="D470" s="163" t="s">
        <v>616</v>
      </c>
      <c r="E470" s="144">
        <f>F470+G470+H470+I470+J470+K470+M470+O470+Q470+S470+U470+V470+W470+X470+Z470+AA470+Y470</f>
        <v>5386458</v>
      </c>
      <c r="F470" s="160">
        <v>0</v>
      </c>
      <c r="G470" s="160">
        <v>0</v>
      </c>
      <c r="H470" s="160">
        <v>0</v>
      </c>
      <c r="I470" s="160">
        <v>0</v>
      </c>
      <c r="J470" s="160">
        <v>0</v>
      </c>
      <c r="K470" s="160">
        <v>0</v>
      </c>
      <c r="L470" s="162">
        <v>0</v>
      </c>
      <c r="M470" s="160">
        <v>0</v>
      </c>
      <c r="N470" s="177">
        <v>300</v>
      </c>
      <c r="O470" s="153">
        <v>5159071.92</v>
      </c>
      <c r="P470" s="160">
        <v>0</v>
      </c>
      <c r="Q470" s="160">
        <v>0</v>
      </c>
      <c r="R470" s="160">
        <v>0</v>
      </c>
      <c r="S470" s="160">
        <v>0</v>
      </c>
      <c r="T470" s="160">
        <v>0</v>
      </c>
      <c r="U470" s="160">
        <v>0</v>
      </c>
      <c r="V470" s="160">
        <v>0</v>
      </c>
      <c r="W470" s="160">
        <v>0</v>
      </c>
      <c r="X470" s="160">
        <v>0</v>
      </c>
      <c r="Y470" s="160">
        <v>150000</v>
      </c>
      <c r="Z470" s="160">
        <f>ROUND(O470*1.5%,2)</f>
        <v>77386.080000000002</v>
      </c>
      <c r="AA470" s="160">
        <v>0</v>
      </c>
      <c r="AB470" s="150">
        <v>2028</v>
      </c>
      <c r="AC470" s="150">
        <v>2028</v>
      </c>
      <c r="AD470" s="150">
        <v>2028</v>
      </c>
    </row>
    <row r="471" spans="1:30" ht="21.75" customHeight="1" x14ac:dyDescent="0.3">
      <c r="A471" s="121">
        <v>1</v>
      </c>
      <c r="B471" s="148">
        <f>SUBTOTAL(9,$A$370:A471)</f>
        <v>89</v>
      </c>
      <c r="C471" s="154" t="s">
        <v>624</v>
      </c>
      <c r="D471" s="163" t="s">
        <v>616</v>
      </c>
      <c r="E471" s="144">
        <f>F471+G471+H471+I471+J471+K471+M471+O471+Q471+S471+U471+V471+W471+X471+Z471+AA471+Y471</f>
        <v>5014331.45</v>
      </c>
      <c r="F471" s="160">
        <v>0</v>
      </c>
      <c r="G471" s="160">
        <v>0</v>
      </c>
      <c r="H471" s="160">
        <v>0</v>
      </c>
      <c r="I471" s="160">
        <v>0</v>
      </c>
      <c r="J471" s="160">
        <v>0</v>
      </c>
      <c r="K471" s="160">
        <v>0</v>
      </c>
      <c r="L471" s="162">
        <v>0</v>
      </c>
      <c r="M471" s="160">
        <v>0</v>
      </c>
      <c r="N471" s="177">
        <v>395</v>
      </c>
      <c r="O471" s="153">
        <v>4743183.6900000004</v>
      </c>
      <c r="P471" s="160">
        <v>0</v>
      </c>
      <c r="Q471" s="160">
        <v>0</v>
      </c>
      <c r="R471" s="160">
        <v>0</v>
      </c>
      <c r="S471" s="160">
        <v>0</v>
      </c>
      <c r="T471" s="160">
        <v>0</v>
      </c>
      <c r="U471" s="160">
        <v>0</v>
      </c>
      <c r="V471" s="160">
        <v>0</v>
      </c>
      <c r="W471" s="160">
        <v>0</v>
      </c>
      <c r="X471" s="160">
        <v>0</v>
      </c>
      <c r="Y471" s="160">
        <v>200000</v>
      </c>
      <c r="Z471" s="160">
        <f>ROUND(O471*1.5%,2)</f>
        <v>71147.759999999995</v>
      </c>
      <c r="AA471" s="160">
        <v>0</v>
      </c>
      <c r="AB471" s="150">
        <v>2028</v>
      </c>
      <c r="AC471" s="150">
        <v>2028</v>
      </c>
      <c r="AD471" s="150">
        <v>2028</v>
      </c>
    </row>
    <row r="472" spans="1:30" x14ac:dyDescent="0.3">
      <c r="A472" s="121">
        <v>1</v>
      </c>
      <c r="B472" s="148">
        <f>SUBTOTAL(9,$A$370:A472)</f>
        <v>90</v>
      </c>
      <c r="C472" s="154" t="s">
        <v>214</v>
      </c>
      <c r="D472" s="163" t="s">
        <v>616</v>
      </c>
      <c r="E472" s="144">
        <f>F472+G472+H472+I472+J472+K472+M472+O472+Q472+S472+U472+V472+W472+X472+Z472+AA472+Y472</f>
        <v>10460276.239999998</v>
      </c>
      <c r="F472" s="160">
        <v>0</v>
      </c>
      <c r="G472" s="160">
        <v>0</v>
      </c>
      <c r="H472" s="160">
        <v>0</v>
      </c>
      <c r="I472" s="160">
        <v>0</v>
      </c>
      <c r="J472" s="160">
        <v>0</v>
      </c>
      <c r="K472" s="160">
        <v>0</v>
      </c>
      <c r="L472" s="162">
        <v>0</v>
      </c>
      <c r="M472" s="160">
        <v>0</v>
      </c>
      <c r="N472" s="177">
        <v>824</v>
      </c>
      <c r="O472" s="153">
        <v>10108646.539999999</v>
      </c>
      <c r="P472" s="160">
        <v>0</v>
      </c>
      <c r="Q472" s="160">
        <v>0</v>
      </c>
      <c r="R472" s="160">
        <v>0</v>
      </c>
      <c r="S472" s="160">
        <v>0</v>
      </c>
      <c r="T472" s="160">
        <v>0</v>
      </c>
      <c r="U472" s="160">
        <v>0</v>
      </c>
      <c r="V472" s="160">
        <v>0</v>
      </c>
      <c r="W472" s="160">
        <v>0</v>
      </c>
      <c r="X472" s="160">
        <v>0</v>
      </c>
      <c r="Y472" s="160">
        <v>200000</v>
      </c>
      <c r="Z472" s="160">
        <f>ROUND(O472*1.5%,2)</f>
        <v>151629.70000000001</v>
      </c>
      <c r="AA472" s="160">
        <v>0</v>
      </c>
      <c r="AB472" s="150">
        <v>2028</v>
      </c>
      <c r="AC472" s="150">
        <v>2028</v>
      </c>
      <c r="AD472" s="150">
        <v>2028</v>
      </c>
    </row>
    <row r="473" spans="1:30" x14ac:dyDescent="0.3">
      <c r="A473" s="121">
        <v>1</v>
      </c>
      <c r="B473" s="148">
        <f>SUBTOTAL(9,$A$370:A473)</f>
        <v>91</v>
      </c>
      <c r="C473" s="154" t="s">
        <v>215</v>
      </c>
      <c r="D473" s="163" t="s">
        <v>616</v>
      </c>
      <c r="E473" s="144">
        <f>F473+G473+H473+I473+J473+K473+M473+O473+Q473+S473+U473+V473+W473+X473+Z473+AA473+Y473</f>
        <v>5781464.9199999999</v>
      </c>
      <c r="F473" s="160">
        <v>0</v>
      </c>
      <c r="G473" s="160">
        <v>0</v>
      </c>
      <c r="H473" s="160">
        <v>0</v>
      </c>
      <c r="I473" s="160">
        <v>0</v>
      </c>
      <c r="J473" s="160">
        <v>0</v>
      </c>
      <c r="K473" s="160">
        <v>0</v>
      </c>
      <c r="L473" s="162">
        <v>0</v>
      </c>
      <c r="M473" s="160">
        <v>0</v>
      </c>
      <c r="N473" s="177">
        <v>322</v>
      </c>
      <c r="O473" s="153">
        <v>5548241.2999999998</v>
      </c>
      <c r="P473" s="160">
        <v>0</v>
      </c>
      <c r="Q473" s="160">
        <v>0</v>
      </c>
      <c r="R473" s="160">
        <v>0</v>
      </c>
      <c r="S473" s="160">
        <v>0</v>
      </c>
      <c r="T473" s="160">
        <v>0</v>
      </c>
      <c r="U473" s="160">
        <v>0</v>
      </c>
      <c r="V473" s="160">
        <v>0</v>
      </c>
      <c r="W473" s="160">
        <v>0</v>
      </c>
      <c r="X473" s="160">
        <v>0</v>
      </c>
      <c r="Y473" s="160">
        <v>150000</v>
      </c>
      <c r="Z473" s="160">
        <f>ROUND(O473*1.5%,2)</f>
        <v>83223.62</v>
      </c>
      <c r="AA473" s="160">
        <v>0</v>
      </c>
      <c r="AB473" s="150">
        <v>2028</v>
      </c>
      <c r="AC473" s="150">
        <v>2028</v>
      </c>
      <c r="AD473" s="150">
        <v>2028</v>
      </c>
    </row>
    <row r="474" spans="1:30" x14ac:dyDescent="0.3">
      <c r="A474" s="121">
        <v>1</v>
      </c>
      <c r="B474" s="148">
        <f>SUBTOTAL(9,$A$370:A474)</f>
        <v>92</v>
      </c>
      <c r="C474" s="154" t="s">
        <v>669</v>
      </c>
      <c r="D474" s="163" t="s">
        <v>616</v>
      </c>
      <c r="E474" s="144">
        <f t="shared" ref="E474:E477" si="147">F474+G474+H474+I474+J474+K474+M474+O474+Q474+S474+U474+V474+W474+X474+Z474+AA474+Y474</f>
        <v>7010026.4500000002</v>
      </c>
      <c r="F474" s="160">
        <v>0</v>
      </c>
      <c r="G474" s="160">
        <v>0</v>
      </c>
      <c r="H474" s="160">
        <v>0</v>
      </c>
      <c r="I474" s="160">
        <v>0</v>
      </c>
      <c r="J474" s="160">
        <v>0</v>
      </c>
      <c r="K474" s="160">
        <v>0</v>
      </c>
      <c r="L474" s="162">
        <v>0</v>
      </c>
      <c r="M474" s="160">
        <v>0</v>
      </c>
      <c r="N474" s="177">
        <v>840</v>
      </c>
      <c r="O474" s="153">
        <v>6906430</v>
      </c>
      <c r="P474" s="160">
        <v>0</v>
      </c>
      <c r="Q474" s="160">
        <v>0</v>
      </c>
      <c r="R474" s="160">
        <v>0</v>
      </c>
      <c r="S474" s="160">
        <v>0</v>
      </c>
      <c r="T474" s="160">
        <v>0</v>
      </c>
      <c r="U474" s="160">
        <v>0</v>
      </c>
      <c r="V474" s="160">
        <v>0</v>
      </c>
      <c r="W474" s="160">
        <v>0</v>
      </c>
      <c r="X474" s="160">
        <v>0</v>
      </c>
      <c r="Y474" s="160">
        <v>0</v>
      </c>
      <c r="Z474" s="160">
        <f>ROUND(O474*1.5%,2)</f>
        <v>103596.45</v>
      </c>
      <c r="AA474" s="160">
        <v>0</v>
      </c>
      <c r="AB474" s="150" t="s">
        <v>425</v>
      </c>
      <c r="AC474" s="150">
        <v>2028</v>
      </c>
      <c r="AD474" s="150">
        <v>2028</v>
      </c>
    </row>
    <row r="475" spans="1:30" x14ac:dyDescent="0.3">
      <c r="A475" s="121">
        <v>1</v>
      </c>
      <c r="B475" s="148">
        <f>SUBTOTAL(9,$A$370:A475)</f>
        <v>93</v>
      </c>
      <c r="C475" s="154" t="s">
        <v>670</v>
      </c>
      <c r="D475" s="163" t="s">
        <v>616</v>
      </c>
      <c r="E475" s="144">
        <f t="shared" si="147"/>
        <v>8582586.25</v>
      </c>
      <c r="F475" s="160">
        <v>0</v>
      </c>
      <c r="G475" s="160">
        <v>0</v>
      </c>
      <c r="H475" s="160">
        <v>0</v>
      </c>
      <c r="I475" s="160">
        <v>0</v>
      </c>
      <c r="J475" s="160">
        <v>0</v>
      </c>
      <c r="K475" s="160">
        <v>0</v>
      </c>
      <c r="L475" s="162">
        <v>0</v>
      </c>
      <c r="M475" s="160">
        <v>0</v>
      </c>
      <c r="N475" s="177">
        <v>607</v>
      </c>
      <c r="O475" s="153">
        <v>8455750</v>
      </c>
      <c r="P475" s="160">
        <v>0</v>
      </c>
      <c r="Q475" s="160">
        <v>0</v>
      </c>
      <c r="R475" s="160">
        <v>0</v>
      </c>
      <c r="S475" s="160">
        <v>0</v>
      </c>
      <c r="T475" s="160">
        <v>0</v>
      </c>
      <c r="U475" s="160">
        <v>0</v>
      </c>
      <c r="V475" s="160">
        <v>0</v>
      </c>
      <c r="W475" s="160">
        <v>0</v>
      </c>
      <c r="X475" s="160">
        <v>0</v>
      </c>
      <c r="Y475" s="160">
        <v>0</v>
      </c>
      <c r="Z475" s="160">
        <f t="shared" ref="Z475:Z477" si="148">ROUND(O475*1.5%,2)</f>
        <v>126836.25</v>
      </c>
      <c r="AA475" s="160">
        <v>0</v>
      </c>
      <c r="AB475" s="150" t="s">
        <v>425</v>
      </c>
      <c r="AC475" s="150">
        <v>2028</v>
      </c>
      <c r="AD475" s="150">
        <v>2028</v>
      </c>
    </row>
    <row r="476" spans="1:30" x14ac:dyDescent="0.3">
      <c r="A476" s="121">
        <v>1</v>
      </c>
      <c r="B476" s="148">
        <f>SUBTOTAL(9,$A$370:A476)</f>
        <v>94</v>
      </c>
      <c r="C476" s="154" t="s">
        <v>671</v>
      </c>
      <c r="D476" s="163" t="s">
        <v>616</v>
      </c>
      <c r="E476" s="144">
        <f t="shared" si="147"/>
        <v>3645971.35</v>
      </c>
      <c r="F476" s="160">
        <v>0</v>
      </c>
      <c r="G476" s="160">
        <v>0</v>
      </c>
      <c r="H476" s="160">
        <v>0</v>
      </c>
      <c r="I476" s="160">
        <v>0</v>
      </c>
      <c r="J476" s="160">
        <v>0</v>
      </c>
      <c r="K476" s="160">
        <v>0</v>
      </c>
      <c r="L476" s="162">
        <v>0</v>
      </c>
      <c r="M476" s="160">
        <v>0</v>
      </c>
      <c r="N476" s="177">
        <v>500</v>
      </c>
      <c r="O476" s="153">
        <v>3592090</v>
      </c>
      <c r="P476" s="160">
        <v>0</v>
      </c>
      <c r="Q476" s="160">
        <v>0</v>
      </c>
      <c r="R476" s="160">
        <v>0</v>
      </c>
      <c r="S476" s="160">
        <v>0</v>
      </c>
      <c r="T476" s="160">
        <v>0</v>
      </c>
      <c r="U476" s="160">
        <v>0</v>
      </c>
      <c r="V476" s="160">
        <v>0</v>
      </c>
      <c r="W476" s="160">
        <v>0</v>
      </c>
      <c r="X476" s="160">
        <v>0</v>
      </c>
      <c r="Y476" s="160">
        <v>0</v>
      </c>
      <c r="Z476" s="160">
        <f t="shared" si="148"/>
        <v>53881.35</v>
      </c>
      <c r="AA476" s="160">
        <v>0</v>
      </c>
      <c r="AB476" s="150" t="s">
        <v>425</v>
      </c>
      <c r="AC476" s="150">
        <v>2028</v>
      </c>
      <c r="AD476" s="150">
        <v>2028</v>
      </c>
    </row>
    <row r="477" spans="1:30" x14ac:dyDescent="0.3">
      <c r="A477" s="121">
        <v>1</v>
      </c>
      <c r="B477" s="148">
        <f>SUBTOTAL(9,$A$370:A477)</f>
        <v>95</v>
      </c>
      <c r="C477" s="154" t="s">
        <v>672</v>
      </c>
      <c r="D477" s="163" t="s">
        <v>616</v>
      </c>
      <c r="E477" s="144">
        <f t="shared" si="147"/>
        <v>8283648.4500000002</v>
      </c>
      <c r="F477" s="160">
        <v>0</v>
      </c>
      <c r="G477" s="160">
        <v>0</v>
      </c>
      <c r="H477" s="160">
        <v>0</v>
      </c>
      <c r="I477" s="160">
        <v>0</v>
      </c>
      <c r="J477" s="160">
        <v>0</v>
      </c>
      <c r="K477" s="160">
        <v>0</v>
      </c>
      <c r="L477" s="162">
        <v>0</v>
      </c>
      <c r="M477" s="160">
        <v>0</v>
      </c>
      <c r="N477" s="177">
        <v>912</v>
      </c>
      <c r="O477" s="153">
        <v>8161230</v>
      </c>
      <c r="P477" s="160">
        <v>0</v>
      </c>
      <c r="Q477" s="160">
        <v>0</v>
      </c>
      <c r="R477" s="160">
        <v>0</v>
      </c>
      <c r="S477" s="160">
        <v>0</v>
      </c>
      <c r="T477" s="160">
        <v>0</v>
      </c>
      <c r="U477" s="160">
        <v>0</v>
      </c>
      <c r="V477" s="160">
        <v>0</v>
      </c>
      <c r="W477" s="160">
        <v>0</v>
      </c>
      <c r="X477" s="160">
        <v>0</v>
      </c>
      <c r="Y477" s="160">
        <v>0</v>
      </c>
      <c r="Z477" s="160">
        <f t="shared" si="148"/>
        <v>122418.45</v>
      </c>
      <c r="AA477" s="160">
        <v>0</v>
      </c>
      <c r="AB477" s="150" t="s">
        <v>425</v>
      </c>
      <c r="AC477" s="150">
        <v>2028</v>
      </c>
      <c r="AD477" s="150">
        <v>2028</v>
      </c>
    </row>
    <row r="478" spans="1:30" x14ac:dyDescent="0.3">
      <c r="B478" s="141" t="s">
        <v>221</v>
      </c>
      <c r="C478" s="141"/>
      <c r="D478" s="171"/>
      <c r="E478" s="170">
        <f>E479</f>
        <v>14453477.609999999</v>
      </c>
      <c r="F478" s="160">
        <f t="shared" ref="F478:AA478" si="149">F479</f>
        <v>0</v>
      </c>
      <c r="G478" s="160">
        <f t="shared" si="149"/>
        <v>0</v>
      </c>
      <c r="H478" s="160">
        <f t="shared" si="149"/>
        <v>0</v>
      </c>
      <c r="I478" s="160">
        <f t="shared" si="149"/>
        <v>0</v>
      </c>
      <c r="J478" s="160">
        <f t="shared" si="149"/>
        <v>0</v>
      </c>
      <c r="K478" s="160">
        <f t="shared" si="149"/>
        <v>0</v>
      </c>
      <c r="L478" s="162">
        <f t="shared" si="149"/>
        <v>0</v>
      </c>
      <c r="M478" s="160">
        <f t="shared" si="149"/>
        <v>0</v>
      </c>
      <c r="N478" s="160">
        <f t="shared" si="149"/>
        <v>1177</v>
      </c>
      <c r="O478" s="160">
        <f t="shared" si="149"/>
        <v>14042835.08</v>
      </c>
      <c r="P478" s="160">
        <f t="shared" si="149"/>
        <v>0</v>
      </c>
      <c r="Q478" s="160">
        <f t="shared" si="149"/>
        <v>0</v>
      </c>
      <c r="R478" s="160">
        <f t="shared" si="149"/>
        <v>0</v>
      </c>
      <c r="S478" s="160">
        <f t="shared" si="149"/>
        <v>0</v>
      </c>
      <c r="T478" s="160">
        <f t="shared" si="149"/>
        <v>0</v>
      </c>
      <c r="U478" s="160">
        <f t="shared" si="149"/>
        <v>0</v>
      </c>
      <c r="V478" s="160">
        <f t="shared" si="149"/>
        <v>0</v>
      </c>
      <c r="W478" s="160">
        <f t="shared" si="149"/>
        <v>0</v>
      </c>
      <c r="X478" s="160">
        <f t="shared" si="149"/>
        <v>0</v>
      </c>
      <c r="Y478" s="160">
        <f t="shared" si="149"/>
        <v>200000</v>
      </c>
      <c r="Z478" s="160">
        <f t="shared" si="149"/>
        <v>210642.53</v>
      </c>
      <c r="AA478" s="160">
        <f t="shared" si="149"/>
        <v>0</v>
      </c>
      <c r="AB478" s="146" t="s">
        <v>422</v>
      </c>
      <c r="AC478" s="146" t="s">
        <v>422</v>
      </c>
      <c r="AD478" s="146" t="s">
        <v>422</v>
      </c>
    </row>
    <row r="479" spans="1:30" x14ac:dyDescent="0.3">
      <c r="A479" s="121">
        <v>1</v>
      </c>
      <c r="B479" s="148">
        <f>SUBTOTAL(9,$A$370:A479)</f>
        <v>96</v>
      </c>
      <c r="C479" s="154" t="s">
        <v>220</v>
      </c>
      <c r="D479" s="163" t="s">
        <v>617</v>
      </c>
      <c r="E479" s="144">
        <f>F479+G479+H479+I479+J479+K479+M479+O479+Q479+S479+U479+V479+W479+X479+Z479+AA479+Y479</f>
        <v>14453477.609999999</v>
      </c>
      <c r="F479" s="160">
        <v>0</v>
      </c>
      <c r="G479" s="160">
        <v>0</v>
      </c>
      <c r="H479" s="160">
        <v>0</v>
      </c>
      <c r="I479" s="160">
        <v>0</v>
      </c>
      <c r="J479" s="160">
        <v>0</v>
      </c>
      <c r="K479" s="160">
        <v>0</v>
      </c>
      <c r="L479" s="162">
        <v>0</v>
      </c>
      <c r="M479" s="160">
        <v>0</v>
      </c>
      <c r="N479" s="177">
        <v>1177</v>
      </c>
      <c r="O479" s="153">
        <v>14042835.08</v>
      </c>
      <c r="P479" s="160">
        <v>0</v>
      </c>
      <c r="Q479" s="160">
        <v>0</v>
      </c>
      <c r="R479" s="160">
        <v>0</v>
      </c>
      <c r="S479" s="160">
        <v>0</v>
      </c>
      <c r="T479" s="160">
        <v>0</v>
      </c>
      <c r="U479" s="160">
        <v>0</v>
      </c>
      <c r="V479" s="160">
        <v>0</v>
      </c>
      <c r="W479" s="160">
        <v>0</v>
      </c>
      <c r="X479" s="160">
        <v>0</v>
      </c>
      <c r="Y479" s="160">
        <v>200000</v>
      </c>
      <c r="Z479" s="160">
        <f>ROUND(O479*1.5%,2)</f>
        <v>210642.53</v>
      </c>
      <c r="AA479" s="160">
        <v>0</v>
      </c>
      <c r="AB479" s="150">
        <v>2028</v>
      </c>
      <c r="AC479" s="150">
        <v>2028</v>
      </c>
      <c r="AD479" s="150">
        <v>2028</v>
      </c>
    </row>
    <row r="480" spans="1:30" x14ac:dyDescent="0.3">
      <c r="B480" s="147" t="s">
        <v>694</v>
      </c>
      <c r="C480" s="147"/>
      <c r="D480" s="172"/>
      <c r="E480" s="153">
        <f>SUM(E481:E485)</f>
        <v>42707353.960000001</v>
      </c>
      <c r="F480" s="153">
        <f t="shared" ref="F480:AA480" si="150">SUM(F481:F485)</f>
        <v>0</v>
      </c>
      <c r="G480" s="153">
        <f t="shared" si="150"/>
        <v>0</v>
      </c>
      <c r="H480" s="153">
        <f t="shared" si="150"/>
        <v>0</v>
      </c>
      <c r="I480" s="153">
        <f t="shared" si="150"/>
        <v>0</v>
      </c>
      <c r="J480" s="153">
        <f t="shared" si="150"/>
        <v>0</v>
      </c>
      <c r="K480" s="153">
        <f t="shared" si="150"/>
        <v>0</v>
      </c>
      <c r="L480" s="162">
        <f t="shared" si="150"/>
        <v>0</v>
      </c>
      <c r="M480" s="153">
        <f t="shared" si="150"/>
        <v>0</v>
      </c>
      <c r="N480" s="153">
        <f t="shared" si="150"/>
        <v>2756.01</v>
      </c>
      <c r="O480" s="153">
        <f t="shared" si="150"/>
        <v>33681618.480000004</v>
      </c>
      <c r="P480" s="153">
        <f t="shared" si="150"/>
        <v>0</v>
      </c>
      <c r="Q480" s="153">
        <f t="shared" si="150"/>
        <v>0</v>
      </c>
      <c r="R480" s="153">
        <f t="shared" si="150"/>
        <v>0</v>
      </c>
      <c r="S480" s="153">
        <f t="shared" si="150"/>
        <v>0</v>
      </c>
      <c r="T480" s="153">
        <f t="shared" si="150"/>
        <v>0</v>
      </c>
      <c r="U480" s="153">
        <f t="shared" si="150"/>
        <v>0</v>
      </c>
      <c r="V480" s="153">
        <f t="shared" si="150"/>
        <v>7409370.6399999997</v>
      </c>
      <c r="W480" s="153">
        <f t="shared" si="150"/>
        <v>0</v>
      </c>
      <c r="X480" s="153">
        <f t="shared" si="150"/>
        <v>0</v>
      </c>
      <c r="Y480" s="153">
        <f t="shared" si="150"/>
        <v>1000000</v>
      </c>
      <c r="Z480" s="153">
        <f t="shared" si="150"/>
        <v>616364.84000000008</v>
      </c>
      <c r="AA480" s="153">
        <f t="shared" si="150"/>
        <v>0</v>
      </c>
      <c r="AB480" s="146" t="s">
        <v>422</v>
      </c>
      <c r="AC480" s="146" t="s">
        <v>422</v>
      </c>
      <c r="AD480" s="146" t="s">
        <v>422</v>
      </c>
    </row>
    <row r="481" spans="1:30" x14ac:dyDescent="0.3">
      <c r="A481" s="121">
        <v>1</v>
      </c>
      <c r="B481" s="148">
        <f>SUBTOTAL(9,$A$370:A481)</f>
        <v>97</v>
      </c>
      <c r="C481" s="154" t="s">
        <v>287</v>
      </c>
      <c r="D481" s="163" t="s">
        <v>618</v>
      </c>
      <c r="E481" s="144">
        <f>F481+G481+H481+I481+J481+K481+M481+O481+Q481+S481+U481+V481+W481+X481+Z481+AA481+Y481</f>
        <v>7720511.1999999993</v>
      </c>
      <c r="F481" s="178">
        <v>0</v>
      </c>
      <c r="G481" s="178">
        <v>0</v>
      </c>
      <c r="H481" s="178">
        <v>0</v>
      </c>
      <c r="I481" s="178">
        <v>0</v>
      </c>
      <c r="J481" s="178">
        <v>0</v>
      </c>
      <c r="K481" s="178">
        <v>0</v>
      </c>
      <c r="L481" s="179">
        <v>0</v>
      </c>
      <c r="M481" s="178">
        <v>0</v>
      </c>
      <c r="N481" s="153">
        <v>0</v>
      </c>
      <c r="O481" s="153">
        <v>0</v>
      </c>
      <c r="P481" s="178">
        <v>0</v>
      </c>
      <c r="Q481" s="178">
        <v>0</v>
      </c>
      <c r="R481" s="178">
        <v>0</v>
      </c>
      <c r="S481" s="178">
        <v>0</v>
      </c>
      <c r="T481" s="160">
        <v>0</v>
      </c>
      <c r="U481" s="160">
        <v>0</v>
      </c>
      <c r="V481" s="153">
        <v>7409370.6399999997</v>
      </c>
      <c r="W481" s="160">
        <v>0</v>
      </c>
      <c r="X481" s="160">
        <v>0</v>
      </c>
      <c r="Y481" s="160">
        <v>200000</v>
      </c>
      <c r="Z481" s="160">
        <f>ROUND(V481*1.5%,2)</f>
        <v>111140.56</v>
      </c>
      <c r="AA481" s="160">
        <v>0</v>
      </c>
      <c r="AB481" s="150">
        <v>2028</v>
      </c>
      <c r="AC481" s="150">
        <v>2028</v>
      </c>
      <c r="AD481" s="150">
        <v>2028</v>
      </c>
    </row>
    <row r="482" spans="1:30" x14ac:dyDescent="0.3">
      <c r="A482" s="121">
        <v>1</v>
      </c>
      <c r="B482" s="148">
        <f>SUBTOTAL(9,$A$370:A482)</f>
        <v>98</v>
      </c>
      <c r="C482" s="154" t="s">
        <v>288</v>
      </c>
      <c r="D482" s="163" t="s">
        <v>618</v>
      </c>
      <c r="E482" s="144">
        <f t="shared" ref="E482:E485" si="151">F482+G482+H482+I482+J482+K482+M482+O482+Q482+S482+U482+V482+W482+X482+Z482+AA482+Y482</f>
        <v>8100747.6699999999</v>
      </c>
      <c r="F482" s="178">
        <v>0</v>
      </c>
      <c r="G482" s="178">
        <v>0</v>
      </c>
      <c r="H482" s="178">
        <v>0</v>
      </c>
      <c r="I482" s="178">
        <v>0</v>
      </c>
      <c r="J482" s="178">
        <v>0</v>
      </c>
      <c r="K482" s="178">
        <v>0</v>
      </c>
      <c r="L482" s="179">
        <v>0</v>
      </c>
      <c r="M482" s="178">
        <v>0</v>
      </c>
      <c r="N482" s="153">
        <v>638.13</v>
      </c>
      <c r="O482" s="153">
        <v>7783987.8499999996</v>
      </c>
      <c r="P482" s="178">
        <v>0</v>
      </c>
      <c r="Q482" s="178">
        <v>0</v>
      </c>
      <c r="R482" s="178">
        <v>0</v>
      </c>
      <c r="S482" s="178">
        <v>0</v>
      </c>
      <c r="T482" s="160">
        <v>0</v>
      </c>
      <c r="U482" s="160">
        <v>0</v>
      </c>
      <c r="V482" s="160">
        <v>0</v>
      </c>
      <c r="W482" s="160">
        <v>0</v>
      </c>
      <c r="X482" s="160">
        <v>0</v>
      </c>
      <c r="Y482" s="160">
        <v>200000</v>
      </c>
      <c r="Z482" s="160">
        <f t="shared" ref="Z482:Z485" si="152">ROUND(O482*1.5%,2)</f>
        <v>116759.82</v>
      </c>
      <c r="AA482" s="160">
        <v>0</v>
      </c>
      <c r="AB482" s="150">
        <v>2028</v>
      </c>
      <c r="AC482" s="150">
        <v>2028</v>
      </c>
      <c r="AD482" s="150">
        <v>2028</v>
      </c>
    </row>
    <row r="483" spans="1:30" x14ac:dyDescent="0.3">
      <c r="A483" s="121">
        <v>1</v>
      </c>
      <c r="B483" s="148">
        <f>SUBTOTAL(9,$A$370:A483)</f>
        <v>99</v>
      </c>
      <c r="C483" s="154" t="s">
        <v>289</v>
      </c>
      <c r="D483" s="163" t="s">
        <v>618</v>
      </c>
      <c r="E483" s="144">
        <f t="shared" si="151"/>
        <v>8204473.3399999999</v>
      </c>
      <c r="F483" s="178">
        <v>0</v>
      </c>
      <c r="G483" s="178">
        <v>0</v>
      </c>
      <c r="H483" s="178">
        <v>0</v>
      </c>
      <c r="I483" s="178">
        <v>0</v>
      </c>
      <c r="J483" s="178">
        <v>0</v>
      </c>
      <c r="K483" s="178">
        <v>0</v>
      </c>
      <c r="L483" s="179">
        <v>0</v>
      </c>
      <c r="M483" s="178">
        <v>0</v>
      </c>
      <c r="N483" s="153">
        <v>646.25</v>
      </c>
      <c r="O483" s="153">
        <v>7886180.6299999999</v>
      </c>
      <c r="P483" s="178">
        <v>0</v>
      </c>
      <c r="Q483" s="178">
        <v>0</v>
      </c>
      <c r="R483" s="178">
        <v>0</v>
      </c>
      <c r="S483" s="178">
        <v>0</v>
      </c>
      <c r="T483" s="160">
        <v>0</v>
      </c>
      <c r="U483" s="160">
        <v>0</v>
      </c>
      <c r="V483" s="160">
        <v>0</v>
      </c>
      <c r="W483" s="160">
        <v>0</v>
      </c>
      <c r="X483" s="160">
        <v>0</v>
      </c>
      <c r="Y483" s="160">
        <v>200000</v>
      </c>
      <c r="Z483" s="160">
        <f t="shared" si="152"/>
        <v>118292.71</v>
      </c>
      <c r="AA483" s="160">
        <v>0</v>
      </c>
      <c r="AB483" s="150">
        <v>2028</v>
      </c>
      <c r="AC483" s="150">
        <v>2028</v>
      </c>
      <c r="AD483" s="150">
        <v>2028</v>
      </c>
    </row>
    <row r="484" spans="1:30" x14ac:dyDescent="0.3">
      <c r="A484" s="121">
        <v>1</v>
      </c>
      <c r="B484" s="148">
        <f>SUBTOTAL(9,$A$370:A484)</f>
        <v>100</v>
      </c>
      <c r="C484" s="154" t="s">
        <v>290</v>
      </c>
      <c r="D484" s="163" t="s">
        <v>618</v>
      </c>
      <c r="E484" s="144">
        <f t="shared" si="151"/>
        <v>8911546.0200000014</v>
      </c>
      <c r="F484" s="160">
        <v>0</v>
      </c>
      <c r="G484" s="160">
        <v>0</v>
      </c>
      <c r="H484" s="160">
        <v>0</v>
      </c>
      <c r="I484" s="160">
        <v>0</v>
      </c>
      <c r="J484" s="160">
        <v>0</v>
      </c>
      <c r="K484" s="160">
        <v>0</v>
      </c>
      <c r="L484" s="162">
        <v>0</v>
      </c>
      <c r="M484" s="160">
        <v>0</v>
      </c>
      <c r="N484" s="160">
        <v>702</v>
      </c>
      <c r="O484" s="153">
        <v>8582803.9600000009</v>
      </c>
      <c r="P484" s="160">
        <v>0</v>
      </c>
      <c r="Q484" s="160">
        <v>0</v>
      </c>
      <c r="R484" s="160">
        <v>0</v>
      </c>
      <c r="S484" s="160">
        <v>0</v>
      </c>
      <c r="T484" s="160">
        <v>0</v>
      </c>
      <c r="U484" s="160">
        <v>0</v>
      </c>
      <c r="V484" s="160">
        <v>0</v>
      </c>
      <c r="W484" s="160">
        <v>0</v>
      </c>
      <c r="X484" s="160">
        <v>0</v>
      </c>
      <c r="Y484" s="160">
        <v>200000</v>
      </c>
      <c r="Z484" s="160">
        <f t="shared" si="152"/>
        <v>128742.06</v>
      </c>
      <c r="AA484" s="160">
        <v>0</v>
      </c>
      <c r="AB484" s="150">
        <v>2028</v>
      </c>
      <c r="AC484" s="150">
        <v>2028</v>
      </c>
      <c r="AD484" s="150">
        <v>2028</v>
      </c>
    </row>
    <row r="485" spans="1:30" x14ac:dyDescent="0.3">
      <c r="A485" s="121">
        <v>1</v>
      </c>
      <c r="B485" s="148">
        <f>SUBTOTAL(9,$A$370:A485)</f>
        <v>101</v>
      </c>
      <c r="C485" s="154" t="s">
        <v>291</v>
      </c>
      <c r="D485" s="163" t="s">
        <v>618</v>
      </c>
      <c r="E485" s="144">
        <f t="shared" si="151"/>
        <v>9770075.7299999986</v>
      </c>
      <c r="F485" s="178">
        <v>0</v>
      </c>
      <c r="G485" s="178">
        <v>0</v>
      </c>
      <c r="H485" s="178">
        <v>0</v>
      </c>
      <c r="I485" s="178">
        <v>0</v>
      </c>
      <c r="J485" s="178">
        <v>0</v>
      </c>
      <c r="K485" s="178">
        <v>0</v>
      </c>
      <c r="L485" s="179">
        <v>0</v>
      </c>
      <c r="M485" s="178">
        <v>0</v>
      </c>
      <c r="N485" s="153">
        <v>769.63</v>
      </c>
      <c r="O485" s="153">
        <v>9428646.0399999991</v>
      </c>
      <c r="P485" s="178">
        <v>0</v>
      </c>
      <c r="Q485" s="178">
        <v>0</v>
      </c>
      <c r="R485" s="178">
        <v>0</v>
      </c>
      <c r="S485" s="178">
        <v>0</v>
      </c>
      <c r="T485" s="160">
        <v>0</v>
      </c>
      <c r="U485" s="160">
        <v>0</v>
      </c>
      <c r="V485" s="160">
        <v>0</v>
      </c>
      <c r="W485" s="160">
        <v>0</v>
      </c>
      <c r="X485" s="160">
        <v>0</v>
      </c>
      <c r="Y485" s="160">
        <v>200000</v>
      </c>
      <c r="Z485" s="160">
        <f t="shared" si="152"/>
        <v>141429.69</v>
      </c>
      <c r="AA485" s="160">
        <v>0</v>
      </c>
      <c r="AB485" s="150">
        <v>2028</v>
      </c>
      <c r="AC485" s="150">
        <v>2028</v>
      </c>
      <c r="AD485" s="150">
        <v>2028</v>
      </c>
    </row>
    <row r="486" spans="1:30" x14ac:dyDescent="0.3">
      <c r="B486" s="147" t="s">
        <v>695</v>
      </c>
      <c r="C486" s="147"/>
      <c r="D486" s="172"/>
      <c r="E486" s="153">
        <f>SUM(E487:E489)</f>
        <v>48109009.640000001</v>
      </c>
      <c r="F486" s="153">
        <f t="shared" ref="F486:AA486" si="153">SUM(F487:F489)</f>
        <v>0</v>
      </c>
      <c r="G486" s="153">
        <f t="shared" si="153"/>
        <v>0</v>
      </c>
      <c r="H486" s="153">
        <f t="shared" si="153"/>
        <v>0</v>
      </c>
      <c r="I486" s="153">
        <f t="shared" si="153"/>
        <v>0</v>
      </c>
      <c r="J486" s="153">
        <f t="shared" si="153"/>
        <v>0</v>
      </c>
      <c r="K486" s="153">
        <f t="shared" si="153"/>
        <v>0</v>
      </c>
      <c r="L486" s="162">
        <f t="shared" si="153"/>
        <v>0</v>
      </c>
      <c r="M486" s="153">
        <f t="shared" si="153"/>
        <v>0</v>
      </c>
      <c r="N486" s="153">
        <f t="shared" si="153"/>
        <v>3789.75</v>
      </c>
      <c r="O486" s="153">
        <f t="shared" si="153"/>
        <v>46708383.879999995</v>
      </c>
      <c r="P486" s="153">
        <f t="shared" si="153"/>
        <v>0</v>
      </c>
      <c r="Q486" s="153">
        <f t="shared" si="153"/>
        <v>0</v>
      </c>
      <c r="R486" s="153">
        <f t="shared" si="153"/>
        <v>0</v>
      </c>
      <c r="S486" s="153">
        <f t="shared" si="153"/>
        <v>0</v>
      </c>
      <c r="T486" s="153">
        <f t="shared" si="153"/>
        <v>0</v>
      </c>
      <c r="U486" s="153">
        <f t="shared" si="153"/>
        <v>0</v>
      </c>
      <c r="V486" s="153">
        <f t="shared" si="153"/>
        <v>0</v>
      </c>
      <c r="W486" s="153">
        <f t="shared" si="153"/>
        <v>0</v>
      </c>
      <c r="X486" s="153">
        <f t="shared" si="153"/>
        <v>0</v>
      </c>
      <c r="Y486" s="153">
        <f t="shared" si="153"/>
        <v>700000</v>
      </c>
      <c r="Z486" s="153">
        <f t="shared" si="153"/>
        <v>700625.75999999989</v>
      </c>
      <c r="AA486" s="153">
        <f t="shared" si="153"/>
        <v>0</v>
      </c>
      <c r="AB486" s="146" t="s">
        <v>422</v>
      </c>
      <c r="AC486" s="146" t="s">
        <v>422</v>
      </c>
      <c r="AD486" s="146" t="s">
        <v>422</v>
      </c>
    </row>
    <row r="487" spans="1:30" x14ac:dyDescent="0.3">
      <c r="A487" s="121">
        <v>1</v>
      </c>
      <c r="B487" s="148">
        <f>SUBTOTAL(9,$A$370:A487)</f>
        <v>102</v>
      </c>
      <c r="C487" s="154" t="s">
        <v>292</v>
      </c>
      <c r="D487" s="163" t="s">
        <v>618</v>
      </c>
      <c r="E487" s="144">
        <f>F487+G487+H487+I487+J487+K487+M487+O487+Q487+S487+U487+V487+W487+X487+Z487+AA487+Y487</f>
        <v>19765352.07</v>
      </c>
      <c r="F487" s="178">
        <v>0</v>
      </c>
      <c r="G487" s="178">
        <v>0</v>
      </c>
      <c r="H487" s="178">
        <v>0</v>
      </c>
      <c r="I487" s="178">
        <v>0</v>
      </c>
      <c r="J487" s="178">
        <v>0</v>
      </c>
      <c r="K487" s="178">
        <v>0</v>
      </c>
      <c r="L487" s="179">
        <v>0</v>
      </c>
      <c r="M487" s="178">
        <v>0</v>
      </c>
      <c r="N487" s="153">
        <v>1557</v>
      </c>
      <c r="O487" s="153">
        <v>19226947.850000001</v>
      </c>
      <c r="P487" s="178">
        <v>0</v>
      </c>
      <c r="Q487" s="178">
        <v>0</v>
      </c>
      <c r="R487" s="178">
        <v>0</v>
      </c>
      <c r="S487" s="178">
        <v>0</v>
      </c>
      <c r="T487" s="160">
        <v>0</v>
      </c>
      <c r="U487" s="160">
        <v>0</v>
      </c>
      <c r="V487" s="160">
        <v>0</v>
      </c>
      <c r="W487" s="160">
        <v>0</v>
      </c>
      <c r="X487" s="160">
        <v>0</v>
      </c>
      <c r="Y487" s="160">
        <v>250000</v>
      </c>
      <c r="Z487" s="160">
        <f>ROUND(O487*1.5%,2)</f>
        <v>288404.21999999997</v>
      </c>
      <c r="AA487" s="160">
        <v>0</v>
      </c>
      <c r="AB487" s="150">
        <v>2028</v>
      </c>
      <c r="AC487" s="150">
        <v>2028</v>
      </c>
      <c r="AD487" s="150">
        <v>2028</v>
      </c>
    </row>
    <row r="488" spans="1:30" x14ac:dyDescent="0.3">
      <c r="A488" s="121">
        <v>1</v>
      </c>
      <c r="B488" s="148">
        <f>SUBTOTAL(9,$A$370:A488)</f>
        <v>103</v>
      </c>
      <c r="C488" s="154" t="s">
        <v>293</v>
      </c>
      <c r="D488" s="163" t="s">
        <v>618</v>
      </c>
      <c r="E488" s="144">
        <f>F488+G488+H488+I488+J488+K488+M488+O488+Q488+S488+U488+V488+W488+X488+Z488+AA488+Y488</f>
        <v>21123655</v>
      </c>
      <c r="F488" s="178">
        <v>0</v>
      </c>
      <c r="G488" s="178">
        <v>0</v>
      </c>
      <c r="H488" s="178">
        <v>0</v>
      </c>
      <c r="I488" s="178">
        <v>0</v>
      </c>
      <c r="J488" s="178">
        <v>0</v>
      </c>
      <c r="K488" s="178">
        <v>0</v>
      </c>
      <c r="L488" s="179">
        <v>0</v>
      </c>
      <c r="M488" s="178">
        <v>0</v>
      </c>
      <c r="N488" s="153">
        <v>1664</v>
      </c>
      <c r="O488" s="153">
        <v>20565177.34</v>
      </c>
      <c r="P488" s="178">
        <v>0</v>
      </c>
      <c r="Q488" s="178">
        <v>0</v>
      </c>
      <c r="R488" s="178">
        <v>0</v>
      </c>
      <c r="S488" s="178">
        <v>0</v>
      </c>
      <c r="T488" s="160">
        <v>0</v>
      </c>
      <c r="U488" s="160">
        <v>0</v>
      </c>
      <c r="V488" s="160">
        <v>0</v>
      </c>
      <c r="W488" s="160">
        <v>0</v>
      </c>
      <c r="X488" s="160">
        <v>0</v>
      </c>
      <c r="Y488" s="160">
        <v>250000</v>
      </c>
      <c r="Z488" s="160">
        <f>ROUND(O488*1.5%,2)</f>
        <v>308477.65999999997</v>
      </c>
      <c r="AA488" s="160">
        <v>0</v>
      </c>
      <c r="AB488" s="150">
        <v>2028</v>
      </c>
      <c r="AC488" s="150">
        <v>2028</v>
      </c>
      <c r="AD488" s="150">
        <v>2028</v>
      </c>
    </row>
    <row r="489" spans="1:30" x14ac:dyDescent="0.3">
      <c r="A489" s="121">
        <v>1</v>
      </c>
      <c r="B489" s="148">
        <f>SUBTOTAL(9,$A$370:A489)</f>
        <v>104</v>
      </c>
      <c r="C489" s="154" t="s">
        <v>294</v>
      </c>
      <c r="D489" s="163" t="s">
        <v>618</v>
      </c>
      <c r="E489" s="144">
        <f>F489+G489+H489+I489+J489+K489+M489+O489+Q489+S489+U489+V489+W489+X489+Z489+AA489+Y489</f>
        <v>7220002.5700000003</v>
      </c>
      <c r="F489" s="178">
        <v>0</v>
      </c>
      <c r="G489" s="178">
        <v>0</v>
      </c>
      <c r="H489" s="178">
        <v>0</v>
      </c>
      <c r="I489" s="178">
        <v>0</v>
      </c>
      <c r="J489" s="178">
        <v>0</v>
      </c>
      <c r="K489" s="178">
        <v>0</v>
      </c>
      <c r="L489" s="179">
        <v>0</v>
      </c>
      <c r="M489" s="178">
        <v>0</v>
      </c>
      <c r="N489" s="153">
        <v>568.75</v>
      </c>
      <c r="O489" s="153">
        <v>6916258.6900000004</v>
      </c>
      <c r="P489" s="178">
        <v>0</v>
      </c>
      <c r="Q489" s="178">
        <v>0</v>
      </c>
      <c r="R489" s="178">
        <v>0</v>
      </c>
      <c r="S489" s="178">
        <v>0</v>
      </c>
      <c r="T489" s="160">
        <v>0</v>
      </c>
      <c r="U489" s="160">
        <v>0</v>
      </c>
      <c r="V489" s="160">
        <v>0</v>
      </c>
      <c r="W489" s="160">
        <v>0</v>
      </c>
      <c r="X489" s="160">
        <v>0</v>
      </c>
      <c r="Y489" s="160">
        <v>200000</v>
      </c>
      <c r="Z489" s="160">
        <f>ROUND(O489*1.5%,2)</f>
        <v>103743.88</v>
      </c>
      <c r="AA489" s="160">
        <v>0</v>
      </c>
      <c r="AB489" s="150">
        <v>2028</v>
      </c>
      <c r="AC489" s="150">
        <v>2028</v>
      </c>
      <c r="AD489" s="150">
        <v>2028</v>
      </c>
    </row>
    <row r="490" spans="1:30" x14ac:dyDescent="0.3">
      <c r="B490" s="141" t="s">
        <v>688</v>
      </c>
      <c r="C490" s="141"/>
      <c r="D490" s="171"/>
      <c r="E490" s="170">
        <f>E491</f>
        <v>12022272.17</v>
      </c>
      <c r="F490" s="160">
        <f t="shared" ref="F490:AA490" si="154">F491</f>
        <v>0</v>
      </c>
      <c r="G490" s="160">
        <f t="shared" si="154"/>
        <v>0</v>
      </c>
      <c r="H490" s="160">
        <f t="shared" si="154"/>
        <v>0</v>
      </c>
      <c r="I490" s="160">
        <f t="shared" si="154"/>
        <v>0</v>
      </c>
      <c r="J490" s="160">
        <f t="shared" si="154"/>
        <v>0</v>
      </c>
      <c r="K490" s="160">
        <f t="shared" si="154"/>
        <v>0</v>
      </c>
      <c r="L490" s="162">
        <f t="shared" si="154"/>
        <v>0</v>
      </c>
      <c r="M490" s="160">
        <f t="shared" si="154"/>
        <v>0</v>
      </c>
      <c r="N490" s="160">
        <f t="shared" si="154"/>
        <v>980</v>
      </c>
      <c r="O490" s="160">
        <f t="shared" si="154"/>
        <v>11647558.789999999</v>
      </c>
      <c r="P490" s="160">
        <f t="shared" si="154"/>
        <v>0</v>
      </c>
      <c r="Q490" s="160">
        <f t="shared" si="154"/>
        <v>0</v>
      </c>
      <c r="R490" s="160">
        <f t="shared" si="154"/>
        <v>0</v>
      </c>
      <c r="S490" s="160">
        <f t="shared" si="154"/>
        <v>0</v>
      </c>
      <c r="T490" s="160">
        <f t="shared" si="154"/>
        <v>0</v>
      </c>
      <c r="U490" s="160">
        <f t="shared" si="154"/>
        <v>0</v>
      </c>
      <c r="V490" s="160">
        <f t="shared" si="154"/>
        <v>0</v>
      </c>
      <c r="W490" s="160">
        <f t="shared" si="154"/>
        <v>0</v>
      </c>
      <c r="X490" s="160">
        <f t="shared" si="154"/>
        <v>0</v>
      </c>
      <c r="Y490" s="160">
        <f t="shared" si="154"/>
        <v>200000</v>
      </c>
      <c r="Z490" s="160">
        <f t="shared" si="154"/>
        <v>174713.38</v>
      </c>
      <c r="AA490" s="160">
        <f t="shared" si="154"/>
        <v>0</v>
      </c>
      <c r="AB490" s="146" t="s">
        <v>422</v>
      </c>
      <c r="AC490" s="146" t="s">
        <v>422</v>
      </c>
      <c r="AD490" s="146" t="s">
        <v>422</v>
      </c>
    </row>
    <row r="491" spans="1:30" x14ac:dyDescent="0.3">
      <c r="A491" s="121">
        <v>1</v>
      </c>
      <c r="B491" s="148">
        <f>SUBTOTAL(9,$A$370:A491)</f>
        <v>105</v>
      </c>
      <c r="C491" s="154" t="s">
        <v>225</v>
      </c>
      <c r="D491" s="163" t="s">
        <v>619</v>
      </c>
      <c r="E491" s="153">
        <f t="shared" ref="E491" si="155">F491+G491+H491+I491+J491+K491+M491+O491+Q491+S491+U491+V491+W491+X491+Y491+Z491+AA491</f>
        <v>12022272.17</v>
      </c>
      <c r="F491" s="160">
        <v>0</v>
      </c>
      <c r="G491" s="160">
        <v>0</v>
      </c>
      <c r="H491" s="160">
        <v>0</v>
      </c>
      <c r="I491" s="160">
        <v>0</v>
      </c>
      <c r="J491" s="160">
        <v>0</v>
      </c>
      <c r="K491" s="160">
        <v>0</v>
      </c>
      <c r="L491" s="162">
        <v>0</v>
      </c>
      <c r="M491" s="160">
        <v>0</v>
      </c>
      <c r="N491" s="182">
        <v>980</v>
      </c>
      <c r="O491" s="182">
        <v>11647558.789999999</v>
      </c>
      <c r="P491" s="160">
        <v>0</v>
      </c>
      <c r="Q491" s="160">
        <v>0</v>
      </c>
      <c r="R491" s="160">
        <v>0</v>
      </c>
      <c r="S491" s="160">
        <v>0</v>
      </c>
      <c r="T491" s="160">
        <v>0</v>
      </c>
      <c r="U491" s="160">
        <v>0</v>
      </c>
      <c r="V491" s="160">
        <v>0</v>
      </c>
      <c r="W491" s="160">
        <v>0</v>
      </c>
      <c r="X491" s="160">
        <v>0</v>
      </c>
      <c r="Y491" s="182">
        <v>200000</v>
      </c>
      <c r="Z491" s="182">
        <f>ROUND(O491*1.5%,2)</f>
        <v>174713.38</v>
      </c>
      <c r="AA491" s="160">
        <v>0</v>
      </c>
      <c r="AB491" s="150">
        <v>2028</v>
      </c>
      <c r="AC491" s="150">
        <v>2028</v>
      </c>
      <c r="AD491" s="150">
        <v>2028</v>
      </c>
    </row>
    <row r="492" spans="1:30" x14ac:dyDescent="0.3">
      <c r="B492" s="141" t="s">
        <v>241</v>
      </c>
      <c r="C492" s="141"/>
      <c r="D492" s="171"/>
      <c r="E492" s="170">
        <f>SUM(E493:E497)</f>
        <v>53842195.050000004</v>
      </c>
      <c r="F492" s="160">
        <f t="shared" ref="F492:AA492" si="156">SUM(F493:F497)</f>
        <v>0</v>
      </c>
      <c r="G492" s="160">
        <f t="shared" si="156"/>
        <v>0</v>
      </c>
      <c r="H492" s="160">
        <f t="shared" si="156"/>
        <v>0</v>
      </c>
      <c r="I492" s="160">
        <f t="shared" si="156"/>
        <v>0</v>
      </c>
      <c r="J492" s="160">
        <f t="shared" si="156"/>
        <v>0</v>
      </c>
      <c r="K492" s="160">
        <f t="shared" si="156"/>
        <v>0</v>
      </c>
      <c r="L492" s="162">
        <f t="shared" si="156"/>
        <v>0</v>
      </c>
      <c r="M492" s="160">
        <f t="shared" si="156"/>
        <v>0</v>
      </c>
      <c r="N492" s="160">
        <f t="shared" si="156"/>
        <v>4386.6375900000003</v>
      </c>
      <c r="O492" s="160">
        <f t="shared" si="156"/>
        <v>52012014.819999993</v>
      </c>
      <c r="P492" s="160">
        <f t="shared" si="156"/>
        <v>0</v>
      </c>
      <c r="Q492" s="160">
        <f t="shared" si="156"/>
        <v>0</v>
      </c>
      <c r="R492" s="160">
        <f t="shared" si="156"/>
        <v>0</v>
      </c>
      <c r="S492" s="160">
        <f t="shared" si="156"/>
        <v>0</v>
      </c>
      <c r="T492" s="160">
        <f t="shared" si="156"/>
        <v>0</v>
      </c>
      <c r="U492" s="160">
        <f t="shared" si="156"/>
        <v>0</v>
      </c>
      <c r="V492" s="160">
        <f t="shared" si="156"/>
        <v>0</v>
      </c>
      <c r="W492" s="160">
        <f t="shared" si="156"/>
        <v>0</v>
      </c>
      <c r="X492" s="160">
        <f t="shared" si="156"/>
        <v>0</v>
      </c>
      <c r="Y492" s="160">
        <f t="shared" si="156"/>
        <v>1050000</v>
      </c>
      <c r="Z492" s="160">
        <f t="shared" si="156"/>
        <v>780180.23</v>
      </c>
      <c r="AA492" s="160">
        <f t="shared" si="156"/>
        <v>0</v>
      </c>
      <c r="AB492" s="146" t="s">
        <v>422</v>
      </c>
      <c r="AC492" s="146" t="s">
        <v>422</v>
      </c>
      <c r="AD492" s="146" t="s">
        <v>422</v>
      </c>
    </row>
    <row r="493" spans="1:30" x14ac:dyDescent="0.3">
      <c r="A493" s="121">
        <v>1</v>
      </c>
      <c r="B493" s="148">
        <f>SUBTOTAL(9,$A$370:A493)</f>
        <v>106</v>
      </c>
      <c r="C493" s="154" t="s">
        <v>236</v>
      </c>
      <c r="D493" s="163" t="s">
        <v>620</v>
      </c>
      <c r="E493" s="144">
        <f t="shared" ref="E493:E497" si="157">F493+G493+H493+I493+J493+K493+M493+O493+Q493+S493+U493+V493+W493+X493+Z493+AA493+Y493</f>
        <v>8518016.2100000009</v>
      </c>
      <c r="F493" s="160">
        <v>0</v>
      </c>
      <c r="G493" s="160">
        <v>0</v>
      </c>
      <c r="H493" s="160">
        <v>0</v>
      </c>
      <c r="I493" s="160">
        <v>0</v>
      </c>
      <c r="J493" s="160">
        <v>0</v>
      </c>
      <c r="K493" s="160">
        <v>0</v>
      </c>
      <c r="L493" s="162">
        <v>0</v>
      </c>
      <c r="M493" s="160">
        <v>0</v>
      </c>
      <c r="N493" s="182">
        <v>671</v>
      </c>
      <c r="O493" s="153">
        <v>8195089.8600000003</v>
      </c>
      <c r="P493" s="160">
        <v>0</v>
      </c>
      <c r="Q493" s="160">
        <v>0</v>
      </c>
      <c r="R493" s="160">
        <v>0</v>
      </c>
      <c r="S493" s="160">
        <v>0</v>
      </c>
      <c r="T493" s="160">
        <v>0</v>
      </c>
      <c r="U493" s="160">
        <v>0</v>
      </c>
      <c r="V493" s="160">
        <v>0</v>
      </c>
      <c r="W493" s="160">
        <v>0</v>
      </c>
      <c r="X493" s="160">
        <v>0</v>
      </c>
      <c r="Y493" s="160">
        <v>200000</v>
      </c>
      <c r="Z493" s="160">
        <f t="shared" ref="Z493:Z497" si="158">ROUND(O493*1.5%,2)</f>
        <v>122926.35</v>
      </c>
      <c r="AA493" s="160">
        <v>0</v>
      </c>
      <c r="AB493" s="150">
        <v>2028</v>
      </c>
      <c r="AC493" s="150">
        <v>2028</v>
      </c>
      <c r="AD493" s="150">
        <v>2028</v>
      </c>
    </row>
    <row r="494" spans="1:30" x14ac:dyDescent="0.3">
      <c r="A494" s="121">
        <v>1</v>
      </c>
      <c r="B494" s="148">
        <f>SUBTOTAL(9,$A$370:A494)</f>
        <v>107</v>
      </c>
      <c r="C494" s="154" t="s">
        <v>237</v>
      </c>
      <c r="D494" s="163" t="s">
        <v>620</v>
      </c>
      <c r="E494" s="144">
        <f t="shared" si="157"/>
        <v>7522766.6300000008</v>
      </c>
      <c r="F494" s="160">
        <v>0</v>
      </c>
      <c r="G494" s="160">
        <v>0</v>
      </c>
      <c r="H494" s="160">
        <v>0</v>
      </c>
      <c r="I494" s="160">
        <v>0</v>
      </c>
      <c r="J494" s="160">
        <v>0</v>
      </c>
      <c r="K494" s="160">
        <v>0</v>
      </c>
      <c r="L494" s="162">
        <v>0</v>
      </c>
      <c r="M494" s="160">
        <v>0</v>
      </c>
      <c r="N494" s="182">
        <v>592.6</v>
      </c>
      <c r="O494" s="153">
        <v>7214548.4000000004</v>
      </c>
      <c r="P494" s="160">
        <v>0</v>
      </c>
      <c r="Q494" s="160">
        <v>0</v>
      </c>
      <c r="R494" s="160">
        <v>0</v>
      </c>
      <c r="S494" s="160">
        <v>0</v>
      </c>
      <c r="T494" s="160">
        <v>0</v>
      </c>
      <c r="U494" s="160">
        <v>0</v>
      </c>
      <c r="V494" s="160">
        <v>0</v>
      </c>
      <c r="W494" s="160">
        <v>0</v>
      </c>
      <c r="X494" s="160">
        <v>0</v>
      </c>
      <c r="Y494" s="160">
        <v>200000</v>
      </c>
      <c r="Z494" s="160">
        <f t="shared" si="158"/>
        <v>108218.23</v>
      </c>
      <c r="AA494" s="160">
        <v>0</v>
      </c>
      <c r="AB494" s="150">
        <v>2028</v>
      </c>
      <c r="AC494" s="150">
        <v>2028</v>
      </c>
      <c r="AD494" s="150">
        <v>2028</v>
      </c>
    </row>
    <row r="495" spans="1:30" x14ac:dyDescent="0.3">
      <c r="A495" s="121">
        <v>1</v>
      </c>
      <c r="B495" s="148">
        <f>SUBTOTAL(9,$A$370:A495)</f>
        <v>108</v>
      </c>
      <c r="C495" s="154" t="s">
        <v>238</v>
      </c>
      <c r="D495" s="163" t="s">
        <v>620</v>
      </c>
      <c r="E495" s="144">
        <f t="shared" si="157"/>
        <v>13858352.5</v>
      </c>
      <c r="F495" s="160">
        <v>0</v>
      </c>
      <c r="G495" s="160">
        <v>0</v>
      </c>
      <c r="H495" s="160">
        <v>0</v>
      </c>
      <c r="I495" s="160">
        <v>0</v>
      </c>
      <c r="J495" s="160">
        <v>0</v>
      </c>
      <c r="K495" s="160">
        <v>0</v>
      </c>
      <c r="L495" s="162">
        <v>0</v>
      </c>
      <c r="M495" s="160">
        <v>0</v>
      </c>
      <c r="N495" s="182">
        <v>1150</v>
      </c>
      <c r="O495" s="153">
        <f>14407243.84-1000000</f>
        <v>13407243.84</v>
      </c>
      <c r="P495" s="160">
        <v>0</v>
      </c>
      <c r="Q495" s="160">
        <v>0</v>
      </c>
      <c r="R495" s="160">
        <v>0</v>
      </c>
      <c r="S495" s="160">
        <v>0</v>
      </c>
      <c r="T495" s="160">
        <v>0</v>
      </c>
      <c r="U495" s="160">
        <v>0</v>
      </c>
      <c r="V495" s="160">
        <v>0</v>
      </c>
      <c r="W495" s="160">
        <v>0</v>
      </c>
      <c r="X495" s="160">
        <v>0</v>
      </c>
      <c r="Y495" s="160">
        <v>250000</v>
      </c>
      <c r="Z495" s="160">
        <f t="shared" si="158"/>
        <v>201108.66</v>
      </c>
      <c r="AA495" s="160">
        <v>0</v>
      </c>
      <c r="AB495" s="150">
        <v>2028</v>
      </c>
      <c r="AC495" s="150">
        <v>2028</v>
      </c>
      <c r="AD495" s="150">
        <v>2028</v>
      </c>
    </row>
    <row r="496" spans="1:30" x14ac:dyDescent="0.3">
      <c r="A496" s="121">
        <v>1</v>
      </c>
      <c r="B496" s="148">
        <f>SUBTOTAL(9,$A$370:A496)</f>
        <v>109</v>
      </c>
      <c r="C496" s="154" t="s">
        <v>239</v>
      </c>
      <c r="D496" s="163" t="s">
        <v>620</v>
      </c>
      <c r="E496" s="144">
        <f t="shared" si="157"/>
        <v>15641642.419999998</v>
      </c>
      <c r="F496" s="160">
        <v>0</v>
      </c>
      <c r="G496" s="160">
        <v>0</v>
      </c>
      <c r="H496" s="160">
        <v>0</v>
      </c>
      <c r="I496" s="160">
        <v>0</v>
      </c>
      <c r="J496" s="160">
        <v>0</v>
      </c>
      <c r="K496" s="160">
        <v>0</v>
      </c>
      <c r="L496" s="162">
        <v>0</v>
      </c>
      <c r="M496" s="160">
        <v>0</v>
      </c>
      <c r="N496" s="182">
        <v>1319.1</v>
      </c>
      <c r="O496" s="153">
        <f>16611213.79-1397772.98</f>
        <v>15213440.809999999</v>
      </c>
      <c r="P496" s="160">
        <v>0</v>
      </c>
      <c r="Q496" s="160">
        <v>0</v>
      </c>
      <c r="R496" s="160">
        <v>0</v>
      </c>
      <c r="S496" s="160">
        <v>0</v>
      </c>
      <c r="T496" s="160">
        <v>0</v>
      </c>
      <c r="U496" s="160">
        <v>0</v>
      </c>
      <c r="V496" s="160">
        <v>0</v>
      </c>
      <c r="W496" s="160">
        <v>0</v>
      </c>
      <c r="X496" s="160">
        <v>0</v>
      </c>
      <c r="Y496" s="160">
        <v>200000</v>
      </c>
      <c r="Z496" s="160">
        <f t="shared" si="158"/>
        <v>228201.61</v>
      </c>
      <c r="AA496" s="160">
        <v>0</v>
      </c>
      <c r="AB496" s="150">
        <v>2028</v>
      </c>
      <c r="AC496" s="150">
        <v>2028</v>
      </c>
      <c r="AD496" s="150">
        <v>2028</v>
      </c>
    </row>
    <row r="497" spans="1:30" x14ac:dyDescent="0.3">
      <c r="A497" s="121">
        <v>1</v>
      </c>
      <c r="B497" s="148">
        <f>SUBTOTAL(9,$A$370:A497)</f>
        <v>110</v>
      </c>
      <c r="C497" s="154" t="s">
        <v>240</v>
      </c>
      <c r="D497" s="163" t="s">
        <v>620</v>
      </c>
      <c r="E497" s="144">
        <f t="shared" si="157"/>
        <v>8301417.29</v>
      </c>
      <c r="F497" s="160">
        <v>0</v>
      </c>
      <c r="G497" s="160">
        <v>0</v>
      </c>
      <c r="H497" s="160">
        <v>0</v>
      </c>
      <c r="I497" s="160">
        <v>0</v>
      </c>
      <c r="J497" s="160">
        <v>0</v>
      </c>
      <c r="K497" s="160">
        <v>0</v>
      </c>
      <c r="L497" s="162">
        <v>0</v>
      </c>
      <c r="M497" s="160">
        <v>0</v>
      </c>
      <c r="N497" s="182">
        <v>653.93759</v>
      </c>
      <c r="O497" s="153">
        <v>7981691.9100000001</v>
      </c>
      <c r="P497" s="160">
        <v>0</v>
      </c>
      <c r="Q497" s="160">
        <v>0</v>
      </c>
      <c r="R497" s="160">
        <v>0</v>
      </c>
      <c r="S497" s="160">
        <v>0</v>
      </c>
      <c r="T497" s="160">
        <v>0</v>
      </c>
      <c r="U497" s="160">
        <v>0</v>
      </c>
      <c r="V497" s="160">
        <v>0</v>
      </c>
      <c r="W497" s="160">
        <v>0</v>
      </c>
      <c r="X497" s="160">
        <v>0</v>
      </c>
      <c r="Y497" s="160">
        <v>200000</v>
      </c>
      <c r="Z497" s="160">
        <f t="shared" si="158"/>
        <v>119725.38</v>
      </c>
      <c r="AA497" s="160">
        <v>0</v>
      </c>
      <c r="AB497" s="150">
        <v>2028</v>
      </c>
      <c r="AC497" s="150">
        <v>2028</v>
      </c>
      <c r="AD497" s="150">
        <v>2028</v>
      </c>
    </row>
    <row r="498" spans="1:30" x14ac:dyDescent="0.3">
      <c r="B498" s="141" t="s">
        <v>668</v>
      </c>
      <c r="C498" s="141"/>
      <c r="D498" s="171"/>
      <c r="E498" s="170">
        <f>E499+E500+E501+E502+E503+E504</f>
        <v>33777859.039999999</v>
      </c>
      <c r="F498" s="170">
        <f t="shared" ref="F498:AA498" si="159">F499+F500+F501+F502+F503+F504</f>
        <v>365546.55</v>
      </c>
      <c r="G498" s="170">
        <f t="shared" si="159"/>
        <v>0</v>
      </c>
      <c r="H498" s="170">
        <f t="shared" si="159"/>
        <v>0</v>
      </c>
      <c r="I498" s="170">
        <f t="shared" si="159"/>
        <v>2380408.96</v>
      </c>
      <c r="J498" s="170">
        <f t="shared" si="159"/>
        <v>0</v>
      </c>
      <c r="K498" s="170">
        <f t="shared" si="159"/>
        <v>0</v>
      </c>
      <c r="L498" s="162">
        <f t="shared" si="159"/>
        <v>0</v>
      </c>
      <c r="M498" s="170">
        <f t="shared" si="159"/>
        <v>0</v>
      </c>
      <c r="N498" s="170">
        <f t="shared" si="159"/>
        <v>2420</v>
      </c>
      <c r="O498" s="170">
        <f t="shared" si="159"/>
        <v>29478536.150000002</v>
      </c>
      <c r="P498" s="170">
        <f t="shared" si="159"/>
        <v>0</v>
      </c>
      <c r="Q498" s="170">
        <f t="shared" si="159"/>
        <v>0</v>
      </c>
      <c r="R498" s="170">
        <f t="shared" si="159"/>
        <v>0</v>
      </c>
      <c r="S498" s="170">
        <f t="shared" si="159"/>
        <v>0</v>
      </c>
      <c r="T498" s="170">
        <f t="shared" si="159"/>
        <v>0</v>
      </c>
      <c r="U498" s="170">
        <f t="shared" si="159"/>
        <v>0</v>
      </c>
      <c r="V498" s="170">
        <f t="shared" si="159"/>
        <v>0</v>
      </c>
      <c r="W498" s="170">
        <f t="shared" si="159"/>
        <v>0</v>
      </c>
      <c r="X498" s="170">
        <f t="shared" si="159"/>
        <v>0</v>
      </c>
      <c r="Y498" s="170">
        <f t="shared" si="159"/>
        <v>1070000</v>
      </c>
      <c r="Z498" s="170">
        <f t="shared" si="159"/>
        <v>483367.38000000006</v>
      </c>
      <c r="AA498" s="170">
        <f t="shared" si="159"/>
        <v>0</v>
      </c>
      <c r="AB498" s="146" t="s">
        <v>422</v>
      </c>
      <c r="AC498" s="146" t="s">
        <v>422</v>
      </c>
      <c r="AD498" s="146" t="s">
        <v>422</v>
      </c>
    </row>
    <row r="499" spans="1:30" x14ac:dyDescent="0.3">
      <c r="A499" s="121">
        <v>1</v>
      </c>
      <c r="B499" s="148">
        <f>SUBTOTAL(9,$A$370:A499)</f>
        <v>111</v>
      </c>
      <c r="C499" s="154" t="s">
        <v>250</v>
      </c>
      <c r="D499" s="163" t="s">
        <v>621</v>
      </c>
      <c r="E499" s="144">
        <f>F499+G499+H499+I499+J499+K499+M499+O499+Q499+S499+U499+V499+W499+X499+Z499+AA499+Y499</f>
        <v>2616115.09</v>
      </c>
      <c r="F499" s="160">
        <v>0</v>
      </c>
      <c r="G499" s="160">
        <v>0</v>
      </c>
      <c r="H499" s="160">
        <v>0</v>
      </c>
      <c r="I499" s="153">
        <v>2380408.96</v>
      </c>
      <c r="J499" s="160">
        <v>0</v>
      </c>
      <c r="K499" s="160">
        <v>0</v>
      </c>
      <c r="L499" s="162">
        <v>0</v>
      </c>
      <c r="M499" s="160">
        <v>0</v>
      </c>
      <c r="N499" s="153">
        <v>0</v>
      </c>
      <c r="O499" s="153">
        <v>0</v>
      </c>
      <c r="P499" s="160">
        <v>0</v>
      </c>
      <c r="Q499" s="160">
        <v>0</v>
      </c>
      <c r="R499" s="160">
        <v>0</v>
      </c>
      <c r="S499" s="160">
        <v>0</v>
      </c>
      <c r="T499" s="160">
        <v>0</v>
      </c>
      <c r="U499" s="160">
        <v>0</v>
      </c>
      <c r="V499" s="160">
        <v>0</v>
      </c>
      <c r="W499" s="160">
        <v>0</v>
      </c>
      <c r="X499" s="160">
        <v>0</v>
      </c>
      <c r="Y499" s="160">
        <v>200000</v>
      </c>
      <c r="Z499" s="160">
        <f>ROUND(I499*1.5%,2)</f>
        <v>35706.129999999997</v>
      </c>
      <c r="AA499" s="160">
        <v>0</v>
      </c>
      <c r="AB499" s="150">
        <v>2028</v>
      </c>
      <c r="AC499" s="150">
        <v>2028</v>
      </c>
      <c r="AD499" s="150">
        <v>2028</v>
      </c>
    </row>
    <row r="500" spans="1:30" x14ac:dyDescent="0.3">
      <c r="A500" s="121">
        <v>1</v>
      </c>
      <c r="B500" s="148">
        <f>SUBTOTAL(9,$A$370:A500)</f>
        <v>112</v>
      </c>
      <c r="C500" s="154" t="s">
        <v>251</v>
      </c>
      <c r="D500" s="163" t="s">
        <v>621</v>
      </c>
      <c r="E500" s="144">
        <f t="shared" ref="E500:E502" si="160">F500+G500+H500+I500+J500+K500+M500+O500+Q500+S500+U500+V500+W500+X500+Z500+AA500+Y500</f>
        <v>4950858.9000000004</v>
      </c>
      <c r="F500" s="160">
        <v>0</v>
      </c>
      <c r="G500" s="160">
        <v>0</v>
      </c>
      <c r="H500" s="160">
        <v>0</v>
      </c>
      <c r="I500" s="160">
        <v>0</v>
      </c>
      <c r="J500" s="160">
        <v>0</v>
      </c>
      <c r="K500" s="160">
        <v>0</v>
      </c>
      <c r="L500" s="162">
        <v>0</v>
      </c>
      <c r="M500" s="160">
        <v>0</v>
      </c>
      <c r="N500" s="153">
        <v>390</v>
      </c>
      <c r="O500" s="153">
        <v>4680649.16</v>
      </c>
      <c r="P500" s="160">
        <v>0</v>
      </c>
      <c r="Q500" s="160">
        <v>0</v>
      </c>
      <c r="R500" s="160">
        <v>0</v>
      </c>
      <c r="S500" s="160">
        <v>0</v>
      </c>
      <c r="T500" s="160">
        <v>0</v>
      </c>
      <c r="U500" s="160">
        <v>0</v>
      </c>
      <c r="V500" s="160">
        <v>0</v>
      </c>
      <c r="W500" s="160">
        <v>0</v>
      </c>
      <c r="X500" s="160">
        <v>0</v>
      </c>
      <c r="Y500" s="160">
        <v>200000</v>
      </c>
      <c r="Z500" s="160">
        <f>ROUND(O500*1.5%,2)</f>
        <v>70209.740000000005</v>
      </c>
      <c r="AA500" s="160">
        <v>0</v>
      </c>
      <c r="AB500" s="150">
        <v>2028</v>
      </c>
      <c r="AC500" s="150">
        <v>2028</v>
      </c>
      <c r="AD500" s="150">
        <v>2028</v>
      </c>
    </row>
    <row r="501" spans="1:30" x14ac:dyDescent="0.3">
      <c r="A501" s="121">
        <v>1</v>
      </c>
      <c r="B501" s="148">
        <f>SUBTOTAL(9,$A$370:A501)</f>
        <v>113</v>
      </c>
      <c r="C501" s="154" t="s">
        <v>252</v>
      </c>
      <c r="D501" s="163" t="s">
        <v>621</v>
      </c>
      <c r="E501" s="144">
        <f t="shared" si="160"/>
        <v>441029.75</v>
      </c>
      <c r="F501" s="153">
        <v>365546.55</v>
      </c>
      <c r="G501" s="160">
        <v>0</v>
      </c>
      <c r="H501" s="160">
        <v>0</v>
      </c>
      <c r="I501" s="160">
        <v>0</v>
      </c>
      <c r="J501" s="160">
        <v>0</v>
      </c>
      <c r="K501" s="160">
        <v>0</v>
      </c>
      <c r="L501" s="162">
        <v>0</v>
      </c>
      <c r="M501" s="160">
        <v>0</v>
      </c>
      <c r="N501" s="153">
        <v>0</v>
      </c>
      <c r="O501" s="153">
        <v>0</v>
      </c>
      <c r="P501" s="160">
        <v>0</v>
      </c>
      <c r="Q501" s="160">
        <v>0</v>
      </c>
      <c r="R501" s="160">
        <v>0</v>
      </c>
      <c r="S501" s="160">
        <v>0</v>
      </c>
      <c r="T501" s="160">
        <v>0</v>
      </c>
      <c r="U501" s="160">
        <v>0</v>
      </c>
      <c r="V501" s="160">
        <v>0</v>
      </c>
      <c r="W501" s="160">
        <v>0</v>
      </c>
      <c r="X501" s="160">
        <v>0</v>
      </c>
      <c r="Y501" s="160">
        <v>70000</v>
      </c>
      <c r="Z501" s="160">
        <f>ROUND(F501*1.5%,2)</f>
        <v>5483.2</v>
      </c>
      <c r="AA501" s="160">
        <v>0</v>
      </c>
      <c r="AB501" s="150">
        <v>2028</v>
      </c>
      <c r="AC501" s="150">
        <v>2028</v>
      </c>
      <c r="AD501" s="150">
        <v>2028</v>
      </c>
    </row>
    <row r="502" spans="1:30" x14ac:dyDescent="0.3">
      <c r="A502" s="121">
        <v>1</v>
      </c>
      <c r="B502" s="148">
        <f>SUBTOTAL(9,$A$370:A502)</f>
        <v>114</v>
      </c>
      <c r="C502" s="154" t="s">
        <v>253</v>
      </c>
      <c r="D502" s="163" t="s">
        <v>621</v>
      </c>
      <c r="E502" s="144">
        <f t="shared" si="160"/>
        <v>9901717.8000000007</v>
      </c>
      <c r="F502" s="160">
        <v>0</v>
      </c>
      <c r="G502" s="160">
        <v>0</v>
      </c>
      <c r="H502" s="160">
        <v>0</v>
      </c>
      <c r="I502" s="160">
        <v>0</v>
      </c>
      <c r="J502" s="160">
        <v>0</v>
      </c>
      <c r="K502" s="160">
        <v>0</v>
      </c>
      <c r="L502" s="162">
        <v>0</v>
      </c>
      <c r="M502" s="160">
        <v>0</v>
      </c>
      <c r="N502" s="153">
        <v>780</v>
      </c>
      <c r="O502" s="153">
        <v>9558342.6600000001</v>
      </c>
      <c r="P502" s="160">
        <v>0</v>
      </c>
      <c r="Q502" s="160">
        <v>0</v>
      </c>
      <c r="R502" s="160">
        <v>0</v>
      </c>
      <c r="S502" s="160">
        <v>0</v>
      </c>
      <c r="T502" s="160">
        <v>0</v>
      </c>
      <c r="U502" s="160">
        <v>0</v>
      </c>
      <c r="V502" s="160">
        <v>0</v>
      </c>
      <c r="W502" s="160">
        <v>0</v>
      </c>
      <c r="X502" s="160">
        <v>0</v>
      </c>
      <c r="Y502" s="160">
        <v>200000</v>
      </c>
      <c r="Z502" s="160">
        <f>ROUND(O502*1.5%,2)</f>
        <v>143375.14000000001</v>
      </c>
      <c r="AA502" s="160">
        <v>0</v>
      </c>
      <c r="AB502" s="150">
        <v>2028</v>
      </c>
      <c r="AC502" s="150">
        <v>2028</v>
      </c>
      <c r="AD502" s="150">
        <v>2028</v>
      </c>
    </row>
    <row r="503" spans="1:30" x14ac:dyDescent="0.3">
      <c r="A503" s="121">
        <v>1</v>
      </c>
      <c r="B503" s="148">
        <f>SUBTOTAL(9,$A$370:A503)</f>
        <v>115</v>
      </c>
      <c r="C503" s="154" t="s">
        <v>254</v>
      </c>
      <c r="D503" s="163" t="s">
        <v>621</v>
      </c>
      <c r="E503" s="144">
        <f>F503+G503+H503+I503+J503+K503+M503+O503+Q503+S503+U503+V503+W503+X503+Z503+AA503+Y503</f>
        <v>7489760.9000000004</v>
      </c>
      <c r="F503" s="160">
        <v>0</v>
      </c>
      <c r="G503" s="160">
        <v>0</v>
      </c>
      <c r="H503" s="160">
        <v>0</v>
      </c>
      <c r="I503" s="160">
        <v>0</v>
      </c>
      <c r="J503" s="160">
        <v>0</v>
      </c>
      <c r="K503" s="160">
        <v>0</v>
      </c>
      <c r="L503" s="162">
        <v>0</v>
      </c>
      <c r="M503" s="160">
        <v>0</v>
      </c>
      <c r="N503" s="153">
        <v>590</v>
      </c>
      <c r="O503" s="153">
        <v>7182030.4400000004</v>
      </c>
      <c r="P503" s="160">
        <v>0</v>
      </c>
      <c r="Q503" s="160">
        <v>0</v>
      </c>
      <c r="R503" s="160">
        <v>0</v>
      </c>
      <c r="S503" s="160">
        <v>0</v>
      </c>
      <c r="T503" s="160">
        <v>0</v>
      </c>
      <c r="U503" s="160">
        <v>0</v>
      </c>
      <c r="V503" s="160">
        <v>0</v>
      </c>
      <c r="W503" s="160">
        <v>0</v>
      </c>
      <c r="X503" s="160">
        <v>0</v>
      </c>
      <c r="Y503" s="160">
        <v>200000</v>
      </c>
      <c r="Z503" s="160">
        <f>ROUND(O503*1.5%,2)</f>
        <v>107730.46</v>
      </c>
      <c r="AA503" s="160">
        <v>0</v>
      </c>
      <c r="AB503" s="150">
        <v>2028</v>
      </c>
      <c r="AC503" s="150">
        <v>2028</v>
      </c>
      <c r="AD503" s="150">
        <v>2028</v>
      </c>
    </row>
    <row r="504" spans="1:30" x14ac:dyDescent="0.3">
      <c r="A504" s="121">
        <v>1</v>
      </c>
      <c r="B504" s="148">
        <f>SUBTOTAL(9,$A$370:A504)</f>
        <v>116</v>
      </c>
      <c r="C504" s="154" t="s">
        <v>255</v>
      </c>
      <c r="D504" s="163" t="s">
        <v>621</v>
      </c>
      <c r="E504" s="144">
        <f>F504+G504+H504+I504+J504+K504+M504+O504+Q504+S504+U504+V504+W504+X504+Z504+AA504+Y504</f>
        <v>8378376.5999999996</v>
      </c>
      <c r="F504" s="160">
        <v>0</v>
      </c>
      <c r="G504" s="160">
        <v>0</v>
      </c>
      <c r="H504" s="160">
        <v>0</v>
      </c>
      <c r="I504" s="160">
        <v>0</v>
      </c>
      <c r="J504" s="160">
        <v>0</v>
      </c>
      <c r="K504" s="160">
        <v>0</v>
      </c>
      <c r="L504" s="162">
        <v>0</v>
      </c>
      <c r="M504" s="160">
        <v>0</v>
      </c>
      <c r="N504" s="153">
        <v>660</v>
      </c>
      <c r="O504" s="153">
        <v>8057513.8899999997</v>
      </c>
      <c r="P504" s="160">
        <v>0</v>
      </c>
      <c r="Q504" s="160">
        <v>0</v>
      </c>
      <c r="R504" s="160">
        <v>0</v>
      </c>
      <c r="S504" s="160">
        <v>0</v>
      </c>
      <c r="T504" s="160">
        <v>0</v>
      </c>
      <c r="U504" s="160">
        <v>0</v>
      </c>
      <c r="V504" s="160">
        <v>0</v>
      </c>
      <c r="W504" s="160">
        <v>0</v>
      </c>
      <c r="X504" s="160">
        <v>0</v>
      </c>
      <c r="Y504" s="160">
        <v>200000</v>
      </c>
      <c r="Z504" s="160">
        <f>ROUND(O504*1.5%,2)</f>
        <v>120862.71</v>
      </c>
      <c r="AA504" s="160">
        <v>0</v>
      </c>
      <c r="AB504" s="150">
        <v>2028</v>
      </c>
      <c r="AC504" s="150">
        <v>2028</v>
      </c>
      <c r="AD504" s="150">
        <v>2028</v>
      </c>
    </row>
    <row r="505" spans="1:30" x14ac:dyDescent="0.3">
      <c r="B505" s="141" t="s">
        <v>265</v>
      </c>
      <c r="C505" s="141"/>
      <c r="D505" s="171"/>
      <c r="E505" s="170">
        <f>E506</f>
        <v>4441177.17</v>
      </c>
      <c r="F505" s="160">
        <f t="shared" ref="F505:AA505" si="161">F506</f>
        <v>0</v>
      </c>
      <c r="G505" s="160">
        <f t="shared" si="161"/>
        <v>0</v>
      </c>
      <c r="H505" s="160">
        <f t="shared" si="161"/>
        <v>0</v>
      </c>
      <c r="I505" s="160">
        <f t="shared" si="161"/>
        <v>0</v>
      </c>
      <c r="J505" s="160">
        <f t="shared" si="161"/>
        <v>0</v>
      </c>
      <c r="K505" s="160">
        <f t="shared" si="161"/>
        <v>0</v>
      </c>
      <c r="L505" s="162">
        <f t="shared" si="161"/>
        <v>0</v>
      </c>
      <c r="M505" s="160">
        <f t="shared" si="161"/>
        <v>0</v>
      </c>
      <c r="N505" s="160">
        <f t="shared" si="161"/>
        <v>0</v>
      </c>
      <c r="O505" s="160">
        <f t="shared" si="161"/>
        <v>0</v>
      </c>
      <c r="P505" s="160">
        <f t="shared" si="161"/>
        <v>0</v>
      </c>
      <c r="Q505" s="160">
        <f t="shared" si="161"/>
        <v>0</v>
      </c>
      <c r="R505" s="160">
        <f t="shared" si="161"/>
        <v>387</v>
      </c>
      <c r="S505" s="160">
        <f t="shared" si="161"/>
        <v>4178499.67</v>
      </c>
      <c r="T505" s="160">
        <f t="shared" si="161"/>
        <v>0</v>
      </c>
      <c r="U505" s="160">
        <f t="shared" si="161"/>
        <v>0</v>
      </c>
      <c r="V505" s="160">
        <f t="shared" si="161"/>
        <v>0</v>
      </c>
      <c r="W505" s="160">
        <f t="shared" si="161"/>
        <v>0</v>
      </c>
      <c r="X505" s="160">
        <f t="shared" si="161"/>
        <v>0</v>
      </c>
      <c r="Y505" s="160">
        <f t="shared" si="161"/>
        <v>200000</v>
      </c>
      <c r="Z505" s="160">
        <f t="shared" si="161"/>
        <v>62677.5</v>
      </c>
      <c r="AA505" s="160">
        <f t="shared" si="161"/>
        <v>0</v>
      </c>
      <c r="AB505" s="146" t="s">
        <v>422</v>
      </c>
      <c r="AC505" s="146" t="s">
        <v>422</v>
      </c>
      <c r="AD505" s="146" t="s">
        <v>422</v>
      </c>
    </row>
    <row r="506" spans="1:30" x14ac:dyDescent="0.3">
      <c r="A506" s="121">
        <v>1</v>
      </c>
      <c r="B506" s="148">
        <f>SUBTOTAL(9,$A$370:A506)</f>
        <v>117</v>
      </c>
      <c r="C506" s="154" t="s">
        <v>259</v>
      </c>
      <c r="D506" s="163" t="s">
        <v>622</v>
      </c>
      <c r="E506" s="144">
        <f>F506+G506+H506+I506+J506+K506+M506+O506+Q506+S506+U506+V506+W506+X506+Z506+AA506+Y506</f>
        <v>4441177.17</v>
      </c>
      <c r="F506" s="160">
        <v>0</v>
      </c>
      <c r="G506" s="160">
        <v>0</v>
      </c>
      <c r="H506" s="160">
        <v>0</v>
      </c>
      <c r="I506" s="160">
        <v>0</v>
      </c>
      <c r="J506" s="160">
        <v>0</v>
      </c>
      <c r="K506" s="160">
        <v>0</v>
      </c>
      <c r="L506" s="162">
        <v>0</v>
      </c>
      <c r="M506" s="160">
        <v>0</v>
      </c>
      <c r="N506" s="153">
        <v>0</v>
      </c>
      <c r="O506" s="153">
        <v>0</v>
      </c>
      <c r="P506" s="160">
        <v>0</v>
      </c>
      <c r="Q506" s="160">
        <v>0</v>
      </c>
      <c r="R506" s="153">
        <v>387</v>
      </c>
      <c r="S506" s="153">
        <v>4178499.67</v>
      </c>
      <c r="T506" s="160">
        <v>0</v>
      </c>
      <c r="U506" s="160">
        <v>0</v>
      </c>
      <c r="V506" s="160">
        <v>0</v>
      </c>
      <c r="W506" s="160">
        <v>0</v>
      </c>
      <c r="X506" s="160">
        <v>0</v>
      </c>
      <c r="Y506" s="160">
        <v>200000</v>
      </c>
      <c r="Z506" s="160">
        <f>ROUND(S506*1.5%,2)</f>
        <v>62677.5</v>
      </c>
      <c r="AA506" s="160">
        <v>0</v>
      </c>
      <c r="AB506" s="150">
        <v>2028</v>
      </c>
      <c r="AC506" s="150">
        <v>2028</v>
      </c>
      <c r="AD506" s="150">
        <v>2028</v>
      </c>
    </row>
    <row r="507" spans="1:30" x14ac:dyDescent="0.3">
      <c r="B507" s="141" t="s">
        <v>263</v>
      </c>
      <c r="C507" s="141"/>
      <c r="D507" s="171"/>
      <c r="E507" s="170">
        <f>E508</f>
        <v>4595412.62</v>
      </c>
      <c r="F507" s="160">
        <f t="shared" ref="F507:AA507" si="162">F508</f>
        <v>0</v>
      </c>
      <c r="G507" s="160">
        <f t="shared" si="162"/>
        <v>0</v>
      </c>
      <c r="H507" s="160">
        <f t="shared" si="162"/>
        <v>0</v>
      </c>
      <c r="I507" s="160">
        <f t="shared" si="162"/>
        <v>0</v>
      </c>
      <c r="J507" s="160">
        <f t="shared" si="162"/>
        <v>0</v>
      </c>
      <c r="K507" s="160">
        <f t="shared" si="162"/>
        <v>0</v>
      </c>
      <c r="L507" s="162">
        <f t="shared" si="162"/>
        <v>0</v>
      </c>
      <c r="M507" s="160">
        <f t="shared" si="162"/>
        <v>0</v>
      </c>
      <c r="N507" s="160">
        <f t="shared" si="162"/>
        <v>362</v>
      </c>
      <c r="O507" s="160">
        <f t="shared" si="162"/>
        <v>4379716.87</v>
      </c>
      <c r="P507" s="160">
        <f t="shared" si="162"/>
        <v>0</v>
      </c>
      <c r="Q507" s="160">
        <f t="shared" si="162"/>
        <v>0</v>
      </c>
      <c r="R507" s="160">
        <f t="shared" si="162"/>
        <v>0</v>
      </c>
      <c r="S507" s="160">
        <f t="shared" si="162"/>
        <v>0</v>
      </c>
      <c r="T507" s="160">
        <f t="shared" si="162"/>
        <v>0</v>
      </c>
      <c r="U507" s="160">
        <f t="shared" si="162"/>
        <v>0</v>
      </c>
      <c r="V507" s="160">
        <f t="shared" si="162"/>
        <v>0</v>
      </c>
      <c r="W507" s="160">
        <f t="shared" si="162"/>
        <v>0</v>
      </c>
      <c r="X507" s="160">
        <f t="shared" si="162"/>
        <v>0</v>
      </c>
      <c r="Y507" s="160">
        <f t="shared" si="162"/>
        <v>150000</v>
      </c>
      <c r="Z507" s="160">
        <f t="shared" si="162"/>
        <v>65695.75</v>
      </c>
      <c r="AA507" s="160">
        <f t="shared" si="162"/>
        <v>0</v>
      </c>
      <c r="AB507" s="146" t="s">
        <v>422</v>
      </c>
      <c r="AC507" s="146" t="s">
        <v>422</v>
      </c>
      <c r="AD507" s="146" t="s">
        <v>422</v>
      </c>
    </row>
    <row r="508" spans="1:30" ht="20.25" customHeight="1" x14ac:dyDescent="0.3">
      <c r="A508" s="121">
        <v>1</v>
      </c>
      <c r="B508" s="148">
        <f>SUBTOTAL(9,$A$370:A508)</f>
        <v>118</v>
      </c>
      <c r="C508" s="154" t="s">
        <v>260</v>
      </c>
      <c r="D508" s="163" t="s">
        <v>622</v>
      </c>
      <c r="E508" s="144">
        <f>F508+G508+H508+I508+J508+K508+M508+O508+Q508+S508+U508+V508+W508+X508+Z508+AA508+Y508</f>
        <v>4595412.62</v>
      </c>
      <c r="F508" s="160">
        <v>0</v>
      </c>
      <c r="G508" s="160">
        <v>0</v>
      </c>
      <c r="H508" s="160">
        <v>0</v>
      </c>
      <c r="I508" s="160">
        <v>0</v>
      </c>
      <c r="J508" s="160">
        <v>0</v>
      </c>
      <c r="K508" s="160">
        <v>0</v>
      </c>
      <c r="L508" s="162">
        <v>0</v>
      </c>
      <c r="M508" s="160">
        <v>0</v>
      </c>
      <c r="N508" s="153">
        <v>362</v>
      </c>
      <c r="O508" s="153">
        <v>4379716.87</v>
      </c>
      <c r="P508" s="160">
        <v>0</v>
      </c>
      <c r="Q508" s="160">
        <v>0</v>
      </c>
      <c r="R508" s="160">
        <v>0</v>
      </c>
      <c r="S508" s="160">
        <v>0</v>
      </c>
      <c r="T508" s="160">
        <v>0</v>
      </c>
      <c r="U508" s="160">
        <v>0</v>
      </c>
      <c r="V508" s="160">
        <v>0</v>
      </c>
      <c r="W508" s="160">
        <v>0</v>
      </c>
      <c r="X508" s="160">
        <v>0</v>
      </c>
      <c r="Y508" s="160">
        <v>150000</v>
      </c>
      <c r="Z508" s="160">
        <f>ROUND(O508*1.5%,2)</f>
        <v>65695.75</v>
      </c>
      <c r="AA508" s="160">
        <v>0</v>
      </c>
      <c r="AB508" s="150">
        <v>2028</v>
      </c>
      <c r="AC508" s="150">
        <v>2028</v>
      </c>
      <c r="AD508" s="150">
        <v>2028</v>
      </c>
    </row>
    <row r="509" spans="1:30" x14ac:dyDescent="0.3">
      <c r="B509" s="141" t="s">
        <v>266</v>
      </c>
      <c r="C509" s="141"/>
      <c r="D509" s="171"/>
      <c r="E509" s="170">
        <f>E510</f>
        <v>7553233.4500000002</v>
      </c>
      <c r="F509" s="160">
        <f t="shared" ref="F509:AA509" si="163">F510</f>
        <v>0</v>
      </c>
      <c r="G509" s="160">
        <f t="shared" si="163"/>
        <v>0</v>
      </c>
      <c r="H509" s="160">
        <f t="shared" si="163"/>
        <v>0</v>
      </c>
      <c r="I509" s="160">
        <f t="shared" si="163"/>
        <v>0</v>
      </c>
      <c r="J509" s="160">
        <f t="shared" si="163"/>
        <v>0</v>
      </c>
      <c r="K509" s="160">
        <f t="shared" si="163"/>
        <v>0</v>
      </c>
      <c r="L509" s="162">
        <f t="shared" si="163"/>
        <v>0</v>
      </c>
      <c r="M509" s="160">
        <f t="shared" si="163"/>
        <v>0</v>
      </c>
      <c r="N509" s="160">
        <f t="shared" si="163"/>
        <v>595</v>
      </c>
      <c r="O509" s="160">
        <f t="shared" si="163"/>
        <v>7244564.9800000004</v>
      </c>
      <c r="P509" s="160">
        <f t="shared" si="163"/>
        <v>0</v>
      </c>
      <c r="Q509" s="160">
        <f t="shared" si="163"/>
        <v>0</v>
      </c>
      <c r="R509" s="160">
        <f t="shared" si="163"/>
        <v>0</v>
      </c>
      <c r="S509" s="160">
        <f t="shared" si="163"/>
        <v>0</v>
      </c>
      <c r="T509" s="160">
        <f t="shared" si="163"/>
        <v>0</v>
      </c>
      <c r="U509" s="160">
        <f t="shared" si="163"/>
        <v>0</v>
      </c>
      <c r="V509" s="160">
        <f t="shared" si="163"/>
        <v>0</v>
      </c>
      <c r="W509" s="160">
        <f t="shared" si="163"/>
        <v>0</v>
      </c>
      <c r="X509" s="160">
        <f t="shared" si="163"/>
        <v>0</v>
      </c>
      <c r="Y509" s="160">
        <f t="shared" si="163"/>
        <v>200000</v>
      </c>
      <c r="Z509" s="160">
        <f t="shared" si="163"/>
        <v>108668.47</v>
      </c>
      <c r="AA509" s="160">
        <f t="shared" si="163"/>
        <v>0</v>
      </c>
      <c r="AB509" s="146" t="s">
        <v>422</v>
      </c>
      <c r="AC509" s="146" t="s">
        <v>422</v>
      </c>
      <c r="AD509" s="146" t="s">
        <v>422</v>
      </c>
    </row>
    <row r="510" spans="1:30" x14ac:dyDescent="0.3">
      <c r="A510" s="121">
        <v>1</v>
      </c>
      <c r="B510" s="148">
        <f>SUBTOTAL(9,$A$370:A510)</f>
        <v>119</v>
      </c>
      <c r="C510" s="154" t="s">
        <v>261</v>
      </c>
      <c r="D510" s="163" t="s">
        <v>622</v>
      </c>
      <c r="E510" s="144">
        <f>F510+G510+H510+I510+J510+K510+M510+O510+Q510+S510+U510+V510+W510+X510+Z510+AA510+Y510</f>
        <v>7553233.4500000002</v>
      </c>
      <c r="F510" s="160">
        <v>0</v>
      </c>
      <c r="G510" s="160">
        <v>0</v>
      </c>
      <c r="H510" s="160">
        <v>0</v>
      </c>
      <c r="I510" s="160">
        <v>0</v>
      </c>
      <c r="J510" s="160">
        <v>0</v>
      </c>
      <c r="K510" s="160">
        <v>0</v>
      </c>
      <c r="L510" s="162">
        <v>0</v>
      </c>
      <c r="M510" s="160">
        <v>0</v>
      </c>
      <c r="N510" s="153">
        <v>595</v>
      </c>
      <c r="O510" s="153">
        <v>7244564.9800000004</v>
      </c>
      <c r="P510" s="160">
        <v>0</v>
      </c>
      <c r="Q510" s="160">
        <v>0</v>
      </c>
      <c r="R510" s="160">
        <v>0</v>
      </c>
      <c r="S510" s="160">
        <v>0</v>
      </c>
      <c r="T510" s="160">
        <v>0</v>
      </c>
      <c r="U510" s="160">
        <v>0</v>
      </c>
      <c r="V510" s="160">
        <v>0</v>
      </c>
      <c r="W510" s="160">
        <v>0</v>
      </c>
      <c r="X510" s="160">
        <v>0</v>
      </c>
      <c r="Y510" s="160">
        <v>200000</v>
      </c>
      <c r="Z510" s="160">
        <f>ROUND(O510*1.5%,2)</f>
        <v>108668.47</v>
      </c>
      <c r="AA510" s="160">
        <v>0</v>
      </c>
      <c r="AB510" s="150">
        <v>2028</v>
      </c>
      <c r="AC510" s="150">
        <v>2028</v>
      </c>
      <c r="AD510" s="150">
        <v>2028</v>
      </c>
    </row>
    <row r="511" spans="1:30" x14ac:dyDescent="0.3">
      <c r="B511" s="141" t="s">
        <v>267</v>
      </c>
      <c r="C511" s="141"/>
      <c r="D511" s="171"/>
      <c r="E511" s="170">
        <f>E512</f>
        <v>9774772.6999999993</v>
      </c>
      <c r="F511" s="160">
        <f t="shared" ref="F511:Z511" si="164">F512</f>
        <v>0</v>
      </c>
      <c r="G511" s="160">
        <f t="shared" si="164"/>
        <v>0</v>
      </c>
      <c r="H511" s="160">
        <f t="shared" si="164"/>
        <v>0</v>
      </c>
      <c r="I511" s="160">
        <f t="shared" si="164"/>
        <v>0</v>
      </c>
      <c r="J511" s="160">
        <f t="shared" si="164"/>
        <v>0</v>
      </c>
      <c r="K511" s="160">
        <f t="shared" si="164"/>
        <v>0</v>
      </c>
      <c r="L511" s="162">
        <f t="shared" si="164"/>
        <v>0</v>
      </c>
      <c r="M511" s="160">
        <f t="shared" si="164"/>
        <v>0</v>
      </c>
      <c r="N511" s="160">
        <f t="shared" si="164"/>
        <v>770</v>
      </c>
      <c r="O511" s="160">
        <f t="shared" si="164"/>
        <v>9433273.5999999996</v>
      </c>
      <c r="P511" s="160">
        <f t="shared" si="164"/>
        <v>0</v>
      </c>
      <c r="Q511" s="160">
        <f t="shared" si="164"/>
        <v>0</v>
      </c>
      <c r="R511" s="160">
        <f t="shared" si="164"/>
        <v>0</v>
      </c>
      <c r="S511" s="160">
        <f t="shared" si="164"/>
        <v>0</v>
      </c>
      <c r="T511" s="160">
        <f t="shared" si="164"/>
        <v>0</v>
      </c>
      <c r="U511" s="160">
        <f t="shared" si="164"/>
        <v>0</v>
      </c>
      <c r="V511" s="160">
        <f t="shared" si="164"/>
        <v>0</v>
      </c>
      <c r="W511" s="160">
        <f t="shared" si="164"/>
        <v>0</v>
      </c>
      <c r="X511" s="160">
        <f t="shared" si="164"/>
        <v>0</v>
      </c>
      <c r="Y511" s="160">
        <f t="shared" si="164"/>
        <v>200000</v>
      </c>
      <c r="Z511" s="160">
        <f t="shared" si="164"/>
        <v>141499.1</v>
      </c>
      <c r="AA511" s="160">
        <f>AA512</f>
        <v>0</v>
      </c>
      <c r="AB511" s="146" t="s">
        <v>422</v>
      </c>
      <c r="AC511" s="146" t="s">
        <v>422</v>
      </c>
      <c r="AD511" s="146" t="s">
        <v>422</v>
      </c>
    </row>
    <row r="512" spans="1:30" x14ac:dyDescent="0.3">
      <c r="A512" s="121">
        <v>1</v>
      </c>
      <c r="B512" s="148">
        <f>SUBTOTAL(9,$A$370:A512)</f>
        <v>120</v>
      </c>
      <c r="C512" s="154" t="s">
        <v>262</v>
      </c>
      <c r="D512" s="163" t="s">
        <v>622</v>
      </c>
      <c r="E512" s="144">
        <f>F512+G512+H512+I512+J512+K512+M512+O512+Q512+S512+U512+V512+W512+X512+Z512+AA512+Y512</f>
        <v>9774772.6999999993</v>
      </c>
      <c r="F512" s="160">
        <v>0</v>
      </c>
      <c r="G512" s="160">
        <v>0</v>
      </c>
      <c r="H512" s="160">
        <v>0</v>
      </c>
      <c r="I512" s="160">
        <v>0</v>
      </c>
      <c r="J512" s="160">
        <v>0</v>
      </c>
      <c r="K512" s="160">
        <v>0</v>
      </c>
      <c r="L512" s="162">
        <v>0</v>
      </c>
      <c r="M512" s="160">
        <v>0</v>
      </c>
      <c r="N512" s="153">
        <v>770</v>
      </c>
      <c r="O512" s="153">
        <v>9433273.5999999996</v>
      </c>
      <c r="P512" s="160">
        <v>0</v>
      </c>
      <c r="Q512" s="160">
        <v>0</v>
      </c>
      <c r="R512" s="160">
        <v>0</v>
      </c>
      <c r="S512" s="160">
        <v>0</v>
      </c>
      <c r="T512" s="160">
        <v>0</v>
      </c>
      <c r="U512" s="160">
        <v>0</v>
      </c>
      <c r="V512" s="160">
        <v>0</v>
      </c>
      <c r="W512" s="160">
        <v>0</v>
      </c>
      <c r="X512" s="160">
        <v>0</v>
      </c>
      <c r="Y512" s="160">
        <v>200000</v>
      </c>
      <c r="Z512" s="160">
        <f>ROUND(O512*1.5%,2)</f>
        <v>141499.1</v>
      </c>
      <c r="AA512" s="160">
        <v>0</v>
      </c>
      <c r="AB512" s="150">
        <v>2028</v>
      </c>
      <c r="AC512" s="150">
        <v>2028</v>
      </c>
      <c r="AD512" s="150">
        <v>2028</v>
      </c>
    </row>
    <row r="513" spans="1:30" x14ac:dyDescent="0.3">
      <c r="B513" s="141" t="s">
        <v>693</v>
      </c>
      <c r="C513" s="141"/>
      <c r="D513" s="171"/>
      <c r="E513" s="170">
        <f>E514</f>
        <v>20622231.5</v>
      </c>
      <c r="F513" s="160">
        <f t="shared" ref="F513:AA513" si="165">F514</f>
        <v>0</v>
      </c>
      <c r="G513" s="160">
        <f t="shared" si="165"/>
        <v>0</v>
      </c>
      <c r="H513" s="160">
        <f t="shared" si="165"/>
        <v>0</v>
      </c>
      <c r="I513" s="160">
        <f t="shared" si="165"/>
        <v>0</v>
      </c>
      <c r="J513" s="160">
        <f t="shared" si="165"/>
        <v>0</v>
      </c>
      <c r="K513" s="160">
        <f t="shared" si="165"/>
        <v>0</v>
      </c>
      <c r="L513" s="162">
        <f t="shared" si="165"/>
        <v>0</v>
      </c>
      <c r="M513" s="160">
        <f t="shared" si="165"/>
        <v>0</v>
      </c>
      <c r="N513" s="160">
        <f t="shared" si="165"/>
        <v>1624.5</v>
      </c>
      <c r="O513" s="160">
        <f t="shared" si="165"/>
        <v>20071164.039999999</v>
      </c>
      <c r="P513" s="160">
        <f t="shared" si="165"/>
        <v>0</v>
      </c>
      <c r="Q513" s="160">
        <f t="shared" si="165"/>
        <v>0</v>
      </c>
      <c r="R513" s="160">
        <f t="shared" si="165"/>
        <v>0</v>
      </c>
      <c r="S513" s="160">
        <f t="shared" si="165"/>
        <v>0</v>
      </c>
      <c r="T513" s="160">
        <f t="shared" si="165"/>
        <v>0</v>
      </c>
      <c r="U513" s="160">
        <f t="shared" si="165"/>
        <v>0</v>
      </c>
      <c r="V513" s="160">
        <f t="shared" si="165"/>
        <v>0</v>
      </c>
      <c r="W513" s="160">
        <f t="shared" si="165"/>
        <v>0</v>
      </c>
      <c r="X513" s="160">
        <f t="shared" si="165"/>
        <v>0</v>
      </c>
      <c r="Y513" s="160">
        <f t="shared" si="165"/>
        <v>250000</v>
      </c>
      <c r="Z513" s="160">
        <f t="shared" si="165"/>
        <v>301067.46000000002</v>
      </c>
      <c r="AA513" s="160">
        <f t="shared" si="165"/>
        <v>0</v>
      </c>
      <c r="AB513" s="146" t="s">
        <v>422</v>
      </c>
      <c r="AC513" s="146" t="s">
        <v>422</v>
      </c>
      <c r="AD513" s="146" t="s">
        <v>422</v>
      </c>
    </row>
    <row r="514" spans="1:30" x14ac:dyDescent="0.3">
      <c r="A514" s="121">
        <v>1</v>
      </c>
      <c r="B514" s="148">
        <f>SUBTOTAL(9,$A$370:A514)</f>
        <v>121</v>
      </c>
      <c r="C514" s="154" t="s">
        <v>271</v>
      </c>
      <c r="D514" s="163" t="s">
        <v>623</v>
      </c>
      <c r="E514" s="144">
        <f>F514+G514+H514+I514+J514+K514+M514+O514+Q514+S514+U514+V514+W514+X514+Z514+AA514+Y514</f>
        <v>20622231.5</v>
      </c>
      <c r="F514" s="160">
        <v>0</v>
      </c>
      <c r="G514" s="160">
        <v>0</v>
      </c>
      <c r="H514" s="160">
        <v>0</v>
      </c>
      <c r="I514" s="160">
        <v>0</v>
      </c>
      <c r="J514" s="160">
        <v>0</v>
      </c>
      <c r="K514" s="160">
        <v>0</v>
      </c>
      <c r="L514" s="162">
        <v>0</v>
      </c>
      <c r="M514" s="160">
        <v>0</v>
      </c>
      <c r="N514" s="144">
        <v>1624.5</v>
      </c>
      <c r="O514" s="153">
        <v>20071164.039999999</v>
      </c>
      <c r="P514" s="160">
        <v>0</v>
      </c>
      <c r="Q514" s="160">
        <v>0</v>
      </c>
      <c r="R514" s="160">
        <v>0</v>
      </c>
      <c r="S514" s="160">
        <v>0</v>
      </c>
      <c r="T514" s="160">
        <v>0</v>
      </c>
      <c r="U514" s="160">
        <v>0</v>
      </c>
      <c r="V514" s="160">
        <v>0</v>
      </c>
      <c r="W514" s="160">
        <v>0</v>
      </c>
      <c r="X514" s="160">
        <v>0</v>
      </c>
      <c r="Y514" s="160">
        <v>250000</v>
      </c>
      <c r="Z514" s="160">
        <f>ROUND(O514*1.5%,2)</f>
        <v>301067.46000000002</v>
      </c>
      <c r="AA514" s="160">
        <v>0</v>
      </c>
      <c r="AB514" s="150">
        <v>2028</v>
      </c>
      <c r="AC514" s="150">
        <v>2028</v>
      </c>
      <c r="AD514" s="150">
        <v>2028</v>
      </c>
    </row>
    <row r="515" spans="1:30" x14ac:dyDescent="0.25">
      <c r="B515" s="184" t="s">
        <v>739</v>
      </c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</row>
    <row r="516" spans="1:30" x14ac:dyDescent="0.3">
      <c r="B516" s="185" t="s">
        <v>731</v>
      </c>
      <c r="C516" s="185"/>
      <c r="D516" s="163"/>
      <c r="E516" s="144">
        <f>E517</f>
        <v>16948149.629999999</v>
      </c>
      <c r="F516" s="144">
        <f t="shared" ref="F516:AA517" si="166">F517</f>
        <v>0</v>
      </c>
      <c r="G516" s="144">
        <f t="shared" si="166"/>
        <v>0</v>
      </c>
      <c r="H516" s="144">
        <f t="shared" si="166"/>
        <v>0</v>
      </c>
      <c r="I516" s="144">
        <f t="shared" si="166"/>
        <v>0</v>
      </c>
      <c r="J516" s="144">
        <f t="shared" si="166"/>
        <v>0</v>
      </c>
      <c r="K516" s="144">
        <f t="shared" si="166"/>
        <v>0</v>
      </c>
      <c r="L516" s="186">
        <f t="shared" si="166"/>
        <v>0</v>
      </c>
      <c r="M516" s="144">
        <f t="shared" si="166"/>
        <v>0</v>
      </c>
      <c r="N516" s="144">
        <f t="shared" si="166"/>
        <v>1342.78</v>
      </c>
      <c r="O516" s="144">
        <f t="shared" si="166"/>
        <v>16697684.359999999</v>
      </c>
      <c r="P516" s="144">
        <f t="shared" si="166"/>
        <v>0</v>
      </c>
      <c r="Q516" s="144">
        <f t="shared" si="166"/>
        <v>0</v>
      </c>
      <c r="R516" s="144">
        <f t="shared" si="166"/>
        <v>0</v>
      </c>
      <c r="S516" s="144">
        <f t="shared" si="166"/>
        <v>0</v>
      </c>
      <c r="T516" s="144">
        <f t="shared" si="166"/>
        <v>0</v>
      </c>
      <c r="U516" s="144">
        <f t="shared" si="166"/>
        <v>0</v>
      </c>
      <c r="V516" s="144">
        <f t="shared" si="166"/>
        <v>0</v>
      </c>
      <c r="W516" s="144">
        <f t="shared" si="166"/>
        <v>0</v>
      </c>
      <c r="X516" s="144">
        <f t="shared" si="166"/>
        <v>0</v>
      </c>
      <c r="Y516" s="144">
        <f t="shared" si="166"/>
        <v>0</v>
      </c>
      <c r="Z516" s="144">
        <f t="shared" si="166"/>
        <v>250465.27</v>
      </c>
      <c r="AA516" s="144">
        <f t="shared" si="166"/>
        <v>0</v>
      </c>
      <c r="AB516" s="146" t="s">
        <v>422</v>
      </c>
      <c r="AC516" s="146" t="s">
        <v>422</v>
      </c>
      <c r="AD516" s="146" t="s">
        <v>422</v>
      </c>
    </row>
    <row r="517" spans="1:30" x14ac:dyDescent="0.3">
      <c r="B517" s="185" t="s">
        <v>676</v>
      </c>
      <c r="C517" s="185"/>
      <c r="D517" s="163"/>
      <c r="E517" s="144">
        <f>E518</f>
        <v>16948149.629999999</v>
      </c>
      <c r="F517" s="144">
        <f t="shared" si="166"/>
        <v>0</v>
      </c>
      <c r="G517" s="144">
        <f t="shared" si="166"/>
        <v>0</v>
      </c>
      <c r="H517" s="144">
        <f t="shared" si="166"/>
        <v>0</v>
      </c>
      <c r="I517" s="144">
        <f t="shared" si="166"/>
        <v>0</v>
      </c>
      <c r="J517" s="144">
        <f t="shared" si="166"/>
        <v>0</v>
      </c>
      <c r="K517" s="144">
        <f t="shared" si="166"/>
        <v>0</v>
      </c>
      <c r="L517" s="186">
        <f t="shared" si="166"/>
        <v>0</v>
      </c>
      <c r="M517" s="144">
        <f t="shared" si="166"/>
        <v>0</v>
      </c>
      <c r="N517" s="144">
        <f t="shared" si="166"/>
        <v>1342.78</v>
      </c>
      <c r="O517" s="144">
        <f t="shared" si="166"/>
        <v>16697684.359999999</v>
      </c>
      <c r="P517" s="144">
        <f t="shared" si="166"/>
        <v>0</v>
      </c>
      <c r="Q517" s="144">
        <f t="shared" si="166"/>
        <v>0</v>
      </c>
      <c r="R517" s="144">
        <f t="shared" si="166"/>
        <v>0</v>
      </c>
      <c r="S517" s="144">
        <f t="shared" si="166"/>
        <v>0</v>
      </c>
      <c r="T517" s="144">
        <f t="shared" si="166"/>
        <v>0</v>
      </c>
      <c r="U517" s="144">
        <f t="shared" si="166"/>
        <v>0</v>
      </c>
      <c r="V517" s="144">
        <f t="shared" si="166"/>
        <v>0</v>
      </c>
      <c r="W517" s="144">
        <f t="shared" si="166"/>
        <v>0</v>
      </c>
      <c r="X517" s="144">
        <f t="shared" si="166"/>
        <v>0</v>
      </c>
      <c r="Y517" s="144">
        <f t="shared" si="166"/>
        <v>0</v>
      </c>
      <c r="Z517" s="144">
        <f t="shared" si="166"/>
        <v>250465.27</v>
      </c>
      <c r="AA517" s="144">
        <f t="shared" si="166"/>
        <v>0</v>
      </c>
      <c r="AB517" s="146" t="s">
        <v>422</v>
      </c>
      <c r="AC517" s="146" t="s">
        <v>422</v>
      </c>
      <c r="AD517" s="146" t="s">
        <v>422</v>
      </c>
    </row>
    <row r="518" spans="1:30" x14ac:dyDescent="0.3">
      <c r="B518" s="187">
        <v>1</v>
      </c>
      <c r="C518" s="188" t="s">
        <v>740</v>
      </c>
      <c r="D518" s="163"/>
      <c r="E518" s="153">
        <f t="shared" ref="E518" si="167">F518+G518+H518+I518+J518+K518+M518+O518+Q518+S518+U518+V518+W518+X518+Y518+Z518+AA518</f>
        <v>16948149.629999999</v>
      </c>
      <c r="F518" s="160">
        <v>0</v>
      </c>
      <c r="G518" s="160">
        <v>0</v>
      </c>
      <c r="H518" s="160">
        <v>0</v>
      </c>
      <c r="I518" s="160">
        <v>0</v>
      </c>
      <c r="J518" s="160">
        <v>0</v>
      </c>
      <c r="K518" s="160">
        <v>0</v>
      </c>
      <c r="L518" s="186">
        <v>0</v>
      </c>
      <c r="M518" s="160">
        <v>0</v>
      </c>
      <c r="N518" s="144">
        <v>1342.78</v>
      </c>
      <c r="O518" s="153">
        <v>16697684.359999999</v>
      </c>
      <c r="P518" s="160">
        <v>0</v>
      </c>
      <c r="Q518" s="160">
        <v>0</v>
      </c>
      <c r="R518" s="160">
        <v>0</v>
      </c>
      <c r="S518" s="160">
        <v>0</v>
      </c>
      <c r="T518" s="160">
        <v>0</v>
      </c>
      <c r="U518" s="160">
        <v>0</v>
      </c>
      <c r="V518" s="160">
        <v>0</v>
      </c>
      <c r="W518" s="160">
        <v>0</v>
      </c>
      <c r="X518" s="160">
        <v>0</v>
      </c>
      <c r="Y518" s="160">
        <v>0</v>
      </c>
      <c r="Z518" s="160">
        <f>ROUND(O518*1.5%,2)</f>
        <v>250465.27</v>
      </c>
      <c r="AA518" s="160">
        <v>0</v>
      </c>
      <c r="AB518" s="150" t="s">
        <v>425</v>
      </c>
      <c r="AC518" s="150">
        <v>2026</v>
      </c>
      <c r="AD518" s="150">
        <v>2026</v>
      </c>
    </row>
    <row r="519" spans="1:30" ht="28.5" customHeight="1" x14ac:dyDescent="0.25">
      <c r="A519" s="121">
        <v>1</v>
      </c>
      <c r="B519" s="184" t="s">
        <v>718</v>
      </c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</row>
    <row r="520" spans="1:30" x14ac:dyDescent="0.3">
      <c r="B520" s="185" t="s">
        <v>731</v>
      </c>
      <c r="C520" s="188"/>
      <c r="D520" s="175"/>
      <c r="E520" s="155">
        <f>E521+E528+E532+E535+E537+E544+E547+E550</f>
        <v>177113005.71000001</v>
      </c>
      <c r="F520" s="155">
        <f t="shared" ref="F520:AA520" si="168">F521+F528+F532+F535+F537+F544+F547+F550</f>
        <v>0</v>
      </c>
      <c r="G520" s="155">
        <f t="shared" si="168"/>
        <v>0</v>
      </c>
      <c r="H520" s="155">
        <f t="shared" si="168"/>
        <v>0</v>
      </c>
      <c r="I520" s="155">
        <f t="shared" si="168"/>
        <v>0</v>
      </c>
      <c r="J520" s="155">
        <f t="shared" si="168"/>
        <v>0</v>
      </c>
      <c r="K520" s="155">
        <f t="shared" si="168"/>
        <v>0</v>
      </c>
      <c r="L520" s="166">
        <f t="shared" si="168"/>
        <v>0</v>
      </c>
      <c r="M520" s="155">
        <f t="shared" si="168"/>
        <v>0</v>
      </c>
      <c r="N520" s="155">
        <f t="shared" si="168"/>
        <v>17749.440000000002</v>
      </c>
      <c r="O520" s="155">
        <f t="shared" si="168"/>
        <v>174495572.16</v>
      </c>
      <c r="P520" s="155">
        <f t="shared" si="168"/>
        <v>0</v>
      </c>
      <c r="Q520" s="155">
        <f t="shared" si="168"/>
        <v>0</v>
      </c>
      <c r="R520" s="155">
        <f t="shared" si="168"/>
        <v>0</v>
      </c>
      <c r="S520" s="155">
        <f t="shared" si="168"/>
        <v>0</v>
      </c>
      <c r="T520" s="155">
        <f t="shared" si="168"/>
        <v>0</v>
      </c>
      <c r="U520" s="155">
        <f t="shared" si="168"/>
        <v>0</v>
      </c>
      <c r="V520" s="155">
        <f t="shared" si="168"/>
        <v>0</v>
      </c>
      <c r="W520" s="155">
        <f t="shared" si="168"/>
        <v>0</v>
      </c>
      <c r="X520" s="155">
        <f t="shared" si="168"/>
        <v>0</v>
      </c>
      <c r="Y520" s="155">
        <f t="shared" si="168"/>
        <v>0</v>
      </c>
      <c r="Z520" s="155">
        <f t="shared" si="168"/>
        <v>2617433.5499999998</v>
      </c>
      <c r="AA520" s="155">
        <f t="shared" si="168"/>
        <v>0</v>
      </c>
      <c r="AB520" s="132" t="s">
        <v>719</v>
      </c>
      <c r="AC520" s="132" t="s">
        <v>719</v>
      </c>
      <c r="AD520" s="132" t="s">
        <v>719</v>
      </c>
    </row>
    <row r="521" spans="1:30" x14ac:dyDescent="0.3">
      <c r="B521" s="185" t="s">
        <v>413</v>
      </c>
      <c r="C521" s="188"/>
      <c r="D521" s="175"/>
      <c r="E521" s="155">
        <f>SUM(E522:E527)</f>
        <v>50953864.619999997</v>
      </c>
      <c r="F521" s="155">
        <f t="shared" ref="F521:AA521" si="169">SUM(F522:F527)</f>
        <v>0</v>
      </c>
      <c r="G521" s="155">
        <f t="shared" si="169"/>
        <v>0</v>
      </c>
      <c r="H521" s="155">
        <f t="shared" si="169"/>
        <v>0</v>
      </c>
      <c r="I521" s="155">
        <f t="shared" si="169"/>
        <v>0</v>
      </c>
      <c r="J521" s="155">
        <f t="shared" si="169"/>
        <v>0</v>
      </c>
      <c r="K521" s="155">
        <f t="shared" si="169"/>
        <v>0</v>
      </c>
      <c r="L521" s="166">
        <f t="shared" si="169"/>
        <v>0</v>
      </c>
      <c r="M521" s="155">
        <f t="shared" si="169"/>
        <v>0</v>
      </c>
      <c r="N521" s="155">
        <f t="shared" si="169"/>
        <v>4791.0599999999995</v>
      </c>
      <c r="O521" s="155">
        <f t="shared" si="169"/>
        <v>50200851.849999994</v>
      </c>
      <c r="P521" s="155">
        <f t="shared" si="169"/>
        <v>0</v>
      </c>
      <c r="Q521" s="155">
        <f t="shared" si="169"/>
        <v>0</v>
      </c>
      <c r="R521" s="155">
        <f t="shared" si="169"/>
        <v>0</v>
      </c>
      <c r="S521" s="155">
        <f t="shared" si="169"/>
        <v>0</v>
      </c>
      <c r="T521" s="155">
        <f t="shared" si="169"/>
        <v>0</v>
      </c>
      <c r="U521" s="155">
        <f t="shared" si="169"/>
        <v>0</v>
      </c>
      <c r="V521" s="155">
        <f t="shared" si="169"/>
        <v>0</v>
      </c>
      <c r="W521" s="155">
        <f t="shared" si="169"/>
        <v>0</v>
      </c>
      <c r="X521" s="155">
        <f t="shared" si="169"/>
        <v>0</v>
      </c>
      <c r="Y521" s="155">
        <f t="shared" si="169"/>
        <v>0</v>
      </c>
      <c r="Z521" s="155">
        <f t="shared" si="169"/>
        <v>753012.77</v>
      </c>
      <c r="AA521" s="155">
        <f t="shared" si="169"/>
        <v>0</v>
      </c>
      <c r="AB521" s="132" t="s">
        <v>719</v>
      </c>
      <c r="AC521" s="132" t="s">
        <v>719</v>
      </c>
      <c r="AD521" s="132" t="s">
        <v>719</v>
      </c>
    </row>
    <row r="522" spans="1:30" x14ac:dyDescent="0.3">
      <c r="B522" s="187">
        <v>1</v>
      </c>
      <c r="C522" s="188" t="s">
        <v>720</v>
      </c>
      <c r="D522" s="175"/>
      <c r="E522" s="153">
        <f t="shared" ref="E522:E527" si="170">F522+G522+H522+I522+J522+K522+M522+O522+Q522+S522+U522+V522+W522+X522+Y522+Z522+AA522</f>
        <v>16256177.220000001</v>
      </c>
      <c r="F522" s="155">
        <v>0</v>
      </c>
      <c r="G522" s="155">
        <v>0</v>
      </c>
      <c r="H522" s="155">
        <v>0</v>
      </c>
      <c r="I522" s="155">
        <v>0</v>
      </c>
      <c r="J522" s="155">
        <v>0</v>
      </c>
      <c r="K522" s="155">
        <v>0</v>
      </c>
      <c r="L522" s="166">
        <v>0</v>
      </c>
      <c r="M522" s="155">
        <v>0</v>
      </c>
      <c r="N522" s="160">
        <v>1465.16</v>
      </c>
      <c r="O522" s="151">
        <v>16015938.15</v>
      </c>
      <c r="P522" s="155">
        <v>0</v>
      </c>
      <c r="Q522" s="155">
        <v>0</v>
      </c>
      <c r="R522" s="155">
        <v>0</v>
      </c>
      <c r="S522" s="155">
        <v>0</v>
      </c>
      <c r="T522" s="155">
        <v>0</v>
      </c>
      <c r="U522" s="155">
        <v>0</v>
      </c>
      <c r="V522" s="155">
        <v>0</v>
      </c>
      <c r="W522" s="155">
        <v>0</v>
      </c>
      <c r="X522" s="155">
        <v>0</v>
      </c>
      <c r="Y522" s="158">
        <v>0</v>
      </c>
      <c r="Z522" s="153">
        <f>ROUND(O522*1.5%,2)</f>
        <v>240239.07</v>
      </c>
      <c r="AA522" s="158">
        <v>0</v>
      </c>
      <c r="AB522" s="163" t="s">
        <v>425</v>
      </c>
      <c r="AC522" s="180">
        <v>2026</v>
      </c>
      <c r="AD522" s="180">
        <v>2026</v>
      </c>
    </row>
    <row r="523" spans="1:30" x14ac:dyDescent="0.3">
      <c r="B523" s="187">
        <v>2</v>
      </c>
      <c r="C523" s="188" t="s">
        <v>721</v>
      </c>
      <c r="D523" s="175"/>
      <c r="E523" s="153">
        <f t="shared" si="170"/>
        <v>11171729.619999999</v>
      </c>
      <c r="F523" s="155">
        <v>0</v>
      </c>
      <c r="G523" s="155">
        <v>0</v>
      </c>
      <c r="H523" s="155">
        <v>0</v>
      </c>
      <c r="I523" s="155">
        <v>0</v>
      </c>
      <c r="J523" s="155">
        <v>0</v>
      </c>
      <c r="K523" s="155">
        <v>0</v>
      </c>
      <c r="L523" s="166">
        <v>0</v>
      </c>
      <c r="M523" s="155">
        <v>0</v>
      </c>
      <c r="N523" s="155">
        <v>1197</v>
      </c>
      <c r="O523" s="151">
        <v>11006630.17</v>
      </c>
      <c r="P523" s="155">
        <v>0</v>
      </c>
      <c r="Q523" s="155">
        <v>0</v>
      </c>
      <c r="R523" s="155">
        <v>0</v>
      </c>
      <c r="S523" s="155">
        <v>0</v>
      </c>
      <c r="T523" s="155">
        <v>0</v>
      </c>
      <c r="U523" s="155">
        <v>0</v>
      </c>
      <c r="V523" s="155">
        <v>0</v>
      </c>
      <c r="W523" s="155">
        <v>0</v>
      </c>
      <c r="X523" s="155">
        <v>0</v>
      </c>
      <c r="Y523" s="158">
        <v>0</v>
      </c>
      <c r="Z523" s="153">
        <f t="shared" ref="Z523:Z536" si="171">ROUND(O523*1.5%,2)</f>
        <v>165099.45000000001</v>
      </c>
      <c r="AA523" s="158">
        <v>0</v>
      </c>
      <c r="AB523" s="163" t="s">
        <v>425</v>
      </c>
      <c r="AC523" s="180">
        <v>2026</v>
      </c>
      <c r="AD523" s="180">
        <v>2026</v>
      </c>
    </row>
    <row r="524" spans="1:30" x14ac:dyDescent="0.3">
      <c r="B524" s="187">
        <v>3</v>
      </c>
      <c r="C524" s="188" t="s">
        <v>722</v>
      </c>
      <c r="D524" s="175"/>
      <c r="E524" s="153">
        <f t="shared" si="170"/>
        <v>7074895.2399999993</v>
      </c>
      <c r="F524" s="155">
        <v>0</v>
      </c>
      <c r="G524" s="155">
        <v>0</v>
      </c>
      <c r="H524" s="155">
        <v>0</v>
      </c>
      <c r="I524" s="155">
        <v>0</v>
      </c>
      <c r="J524" s="155">
        <v>0</v>
      </c>
      <c r="K524" s="155">
        <v>0</v>
      </c>
      <c r="L524" s="166">
        <v>0</v>
      </c>
      <c r="M524" s="155">
        <v>0</v>
      </c>
      <c r="N524" s="155">
        <v>608</v>
      </c>
      <c r="O524" s="151">
        <v>6970340.1399999997</v>
      </c>
      <c r="P524" s="155">
        <v>0</v>
      </c>
      <c r="Q524" s="155">
        <v>0</v>
      </c>
      <c r="R524" s="155">
        <v>0</v>
      </c>
      <c r="S524" s="155">
        <v>0</v>
      </c>
      <c r="T524" s="155">
        <v>0</v>
      </c>
      <c r="U524" s="155">
        <v>0</v>
      </c>
      <c r="V524" s="155">
        <v>0</v>
      </c>
      <c r="W524" s="155">
        <v>0</v>
      </c>
      <c r="X524" s="155">
        <v>0</v>
      </c>
      <c r="Y524" s="158">
        <v>0</v>
      </c>
      <c r="Z524" s="153">
        <f t="shared" si="171"/>
        <v>104555.1</v>
      </c>
      <c r="AA524" s="158">
        <v>0</v>
      </c>
      <c r="AB524" s="163" t="s">
        <v>425</v>
      </c>
      <c r="AC524" s="180">
        <v>2026</v>
      </c>
      <c r="AD524" s="180">
        <v>2026</v>
      </c>
    </row>
    <row r="525" spans="1:30" x14ac:dyDescent="0.3">
      <c r="B525" s="187">
        <v>4</v>
      </c>
      <c r="C525" s="188" t="s">
        <v>723</v>
      </c>
      <c r="D525" s="175"/>
      <c r="E525" s="153">
        <f t="shared" si="170"/>
        <v>6156163.1500000004</v>
      </c>
      <c r="F525" s="155">
        <v>0</v>
      </c>
      <c r="G525" s="155">
        <v>0</v>
      </c>
      <c r="H525" s="155">
        <v>0</v>
      </c>
      <c r="I525" s="155">
        <v>0</v>
      </c>
      <c r="J525" s="155">
        <v>0</v>
      </c>
      <c r="K525" s="155">
        <v>0</v>
      </c>
      <c r="L525" s="166">
        <v>0</v>
      </c>
      <c r="M525" s="155">
        <v>0</v>
      </c>
      <c r="N525" s="155">
        <v>582</v>
      </c>
      <c r="O525" s="151">
        <v>6065185.3700000001</v>
      </c>
      <c r="P525" s="155">
        <v>0</v>
      </c>
      <c r="Q525" s="155">
        <v>0</v>
      </c>
      <c r="R525" s="155">
        <v>0</v>
      </c>
      <c r="S525" s="155">
        <v>0</v>
      </c>
      <c r="T525" s="155">
        <v>0</v>
      </c>
      <c r="U525" s="155">
        <v>0</v>
      </c>
      <c r="V525" s="155">
        <v>0</v>
      </c>
      <c r="W525" s="155">
        <v>0</v>
      </c>
      <c r="X525" s="155">
        <v>0</v>
      </c>
      <c r="Y525" s="158">
        <v>0</v>
      </c>
      <c r="Z525" s="153">
        <f t="shared" si="171"/>
        <v>90977.78</v>
      </c>
      <c r="AA525" s="158">
        <v>0</v>
      </c>
      <c r="AB525" s="163" t="s">
        <v>425</v>
      </c>
      <c r="AC525" s="180">
        <v>2026</v>
      </c>
      <c r="AD525" s="180">
        <v>2026</v>
      </c>
    </row>
    <row r="526" spans="1:30" x14ac:dyDescent="0.3">
      <c r="B526" s="187">
        <v>5</v>
      </c>
      <c r="C526" s="188" t="s">
        <v>758</v>
      </c>
      <c r="D526" s="175"/>
      <c r="E526" s="153">
        <f t="shared" si="170"/>
        <v>5020673.3599999994</v>
      </c>
      <c r="F526" s="155">
        <v>0</v>
      </c>
      <c r="G526" s="155">
        <v>0</v>
      </c>
      <c r="H526" s="155">
        <v>0</v>
      </c>
      <c r="I526" s="155">
        <v>0</v>
      </c>
      <c r="J526" s="155">
        <v>0</v>
      </c>
      <c r="K526" s="155">
        <v>0</v>
      </c>
      <c r="L526" s="166">
        <v>0</v>
      </c>
      <c r="M526" s="155">
        <v>0</v>
      </c>
      <c r="N526" s="155">
        <v>514</v>
      </c>
      <c r="O526" s="151">
        <v>4946476.22</v>
      </c>
      <c r="P526" s="155">
        <v>0</v>
      </c>
      <c r="Q526" s="155">
        <v>0</v>
      </c>
      <c r="R526" s="155">
        <v>0</v>
      </c>
      <c r="S526" s="155">
        <v>0</v>
      </c>
      <c r="T526" s="155">
        <v>0</v>
      </c>
      <c r="U526" s="155">
        <v>0</v>
      </c>
      <c r="V526" s="155">
        <v>0</v>
      </c>
      <c r="W526" s="155">
        <v>0</v>
      </c>
      <c r="X526" s="155">
        <v>0</v>
      </c>
      <c r="Y526" s="158">
        <v>0</v>
      </c>
      <c r="Z526" s="153">
        <f>ROUND(O526*1.5%,2)</f>
        <v>74197.14</v>
      </c>
      <c r="AA526" s="158">
        <v>0</v>
      </c>
      <c r="AB526" s="163" t="s">
        <v>425</v>
      </c>
      <c r="AC526" s="180">
        <v>2026</v>
      </c>
      <c r="AD526" s="180">
        <v>2026</v>
      </c>
    </row>
    <row r="527" spans="1:30" x14ac:dyDescent="0.3">
      <c r="B527" s="187">
        <v>6</v>
      </c>
      <c r="C527" s="188" t="s">
        <v>771</v>
      </c>
      <c r="D527" s="175"/>
      <c r="E527" s="153">
        <f t="shared" si="170"/>
        <v>5274226.03</v>
      </c>
      <c r="F527" s="155">
        <v>0</v>
      </c>
      <c r="G527" s="155">
        <v>0</v>
      </c>
      <c r="H527" s="155">
        <v>0</v>
      </c>
      <c r="I527" s="155">
        <v>0</v>
      </c>
      <c r="J527" s="155">
        <v>0</v>
      </c>
      <c r="K527" s="155">
        <v>0</v>
      </c>
      <c r="L527" s="166">
        <v>0</v>
      </c>
      <c r="M527" s="155">
        <v>0</v>
      </c>
      <c r="N527" s="155">
        <v>424.9</v>
      </c>
      <c r="O527" s="151">
        <v>5196281.8</v>
      </c>
      <c r="P527" s="155">
        <v>0</v>
      </c>
      <c r="Q527" s="155">
        <v>0</v>
      </c>
      <c r="R527" s="155">
        <v>0</v>
      </c>
      <c r="S527" s="155">
        <v>0</v>
      </c>
      <c r="T527" s="155">
        <v>0</v>
      </c>
      <c r="U527" s="155">
        <v>0</v>
      </c>
      <c r="V527" s="155">
        <v>0</v>
      </c>
      <c r="W527" s="155">
        <v>0</v>
      </c>
      <c r="X527" s="155">
        <v>0</v>
      </c>
      <c r="Y527" s="158">
        <v>0</v>
      </c>
      <c r="Z527" s="153">
        <f>ROUND(O527*1.5%,2)</f>
        <v>77944.23</v>
      </c>
      <c r="AA527" s="158">
        <v>0</v>
      </c>
      <c r="AB527" s="163" t="s">
        <v>425</v>
      </c>
      <c r="AC527" s="180">
        <v>2026</v>
      </c>
      <c r="AD527" s="180">
        <v>2026</v>
      </c>
    </row>
    <row r="528" spans="1:30" x14ac:dyDescent="0.3">
      <c r="B528" s="185" t="s">
        <v>221</v>
      </c>
      <c r="C528" s="188"/>
      <c r="D528" s="175"/>
      <c r="E528" s="155">
        <f>E529+E530+E531</f>
        <v>21141288.689999998</v>
      </c>
      <c r="F528" s="155">
        <f t="shared" ref="F528:AA528" si="172">F529+F530+F531</f>
        <v>0</v>
      </c>
      <c r="G528" s="155">
        <f t="shared" si="172"/>
        <v>0</v>
      </c>
      <c r="H528" s="155">
        <f t="shared" si="172"/>
        <v>0</v>
      </c>
      <c r="I528" s="155">
        <f t="shared" si="172"/>
        <v>0</v>
      </c>
      <c r="J528" s="155">
        <f t="shared" si="172"/>
        <v>0</v>
      </c>
      <c r="K528" s="155">
        <f t="shared" si="172"/>
        <v>0</v>
      </c>
      <c r="L528" s="162">
        <f t="shared" si="172"/>
        <v>0</v>
      </c>
      <c r="M528" s="155">
        <f t="shared" si="172"/>
        <v>0</v>
      </c>
      <c r="N528" s="155">
        <f t="shared" si="172"/>
        <v>1873.1200000000001</v>
      </c>
      <c r="O528" s="155">
        <f t="shared" si="172"/>
        <v>20828855.859999999</v>
      </c>
      <c r="P528" s="155">
        <f t="shared" si="172"/>
        <v>0</v>
      </c>
      <c r="Q528" s="155">
        <f t="shared" si="172"/>
        <v>0</v>
      </c>
      <c r="R528" s="155">
        <f t="shared" si="172"/>
        <v>0</v>
      </c>
      <c r="S528" s="155">
        <f t="shared" si="172"/>
        <v>0</v>
      </c>
      <c r="T528" s="155">
        <f t="shared" si="172"/>
        <v>0</v>
      </c>
      <c r="U528" s="155">
        <f t="shared" si="172"/>
        <v>0</v>
      </c>
      <c r="V528" s="155">
        <f t="shared" si="172"/>
        <v>0</v>
      </c>
      <c r="W528" s="155">
        <f t="shared" si="172"/>
        <v>0</v>
      </c>
      <c r="X528" s="155">
        <f t="shared" si="172"/>
        <v>0</v>
      </c>
      <c r="Y528" s="155">
        <f t="shared" si="172"/>
        <v>0</v>
      </c>
      <c r="Z528" s="155">
        <f t="shared" si="172"/>
        <v>312432.83</v>
      </c>
      <c r="AA528" s="155">
        <f t="shared" si="172"/>
        <v>0</v>
      </c>
      <c r="AB528" s="132" t="s">
        <v>719</v>
      </c>
      <c r="AC528" s="132" t="s">
        <v>719</v>
      </c>
      <c r="AD528" s="132" t="s">
        <v>719</v>
      </c>
    </row>
    <row r="529" spans="2:30" x14ac:dyDescent="0.3">
      <c r="B529" s="187">
        <v>7</v>
      </c>
      <c r="C529" s="188" t="s">
        <v>724</v>
      </c>
      <c r="D529" s="175"/>
      <c r="E529" s="153">
        <f>F529+G529+H529+I529+J529+K529+M529+O529+Q529+S529+U529+V529+W529+X529+Y529+Z529+AA529</f>
        <v>9252030.4299999997</v>
      </c>
      <c r="F529" s="155">
        <v>0</v>
      </c>
      <c r="G529" s="155">
        <v>0</v>
      </c>
      <c r="H529" s="155">
        <v>0</v>
      </c>
      <c r="I529" s="155">
        <v>0</v>
      </c>
      <c r="J529" s="155">
        <v>0</v>
      </c>
      <c r="K529" s="155">
        <v>0</v>
      </c>
      <c r="L529" s="166">
        <v>0</v>
      </c>
      <c r="M529" s="155">
        <v>0</v>
      </c>
      <c r="N529" s="155">
        <v>793</v>
      </c>
      <c r="O529" s="151">
        <v>9115300.9199999999</v>
      </c>
      <c r="P529" s="155">
        <v>0</v>
      </c>
      <c r="Q529" s="155">
        <v>0</v>
      </c>
      <c r="R529" s="155">
        <v>0</v>
      </c>
      <c r="S529" s="155">
        <v>0</v>
      </c>
      <c r="T529" s="155">
        <v>0</v>
      </c>
      <c r="U529" s="155">
        <v>0</v>
      </c>
      <c r="V529" s="155">
        <v>0</v>
      </c>
      <c r="W529" s="155">
        <v>0</v>
      </c>
      <c r="X529" s="155">
        <v>0</v>
      </c>
      <c r="Y529" s="158">
        <v>0</v>
      </c>
      <c r="Z529" s="153">
        <f t="shared" si="171"/>
        <v>136729.51</v>
      </c>
      <c r="AA529" s="158">
        <v>0</v>
      </c>
      <c r="AB529" s="163" t="s">
        <v>425</v>
      </c>
      <c r="AC529" s="180">
        <v>2026</v>
      </c>
      <c r="AD529" s="180">
        <v>2026</v>
      </c>
    </row>
    <row r="530" spans="2:30" x14ac:dyDescent="0.3">
      <c r="B530" s="187">
        <v>8</v>
      </c>
      <c r="C530" s="188" t="s">
        <v>725</v>
      </c>
      <c r="D530" s="175"/>
      <c r="E530" s="153">
        <f t="shared" ref="E530:E531" si="173">F530+G530+H530+I530+J530+K530+M530+O530+Q530+S530+U530+V530+W530+X530+Y530+Z530+AA530</f>
        <v>7021399.1699999999</v>
      </c>
      <c r="F530" s="155">
        <v>0</v>
      </c>
      <c r="G530" s="155">
        <v>0</v>
      </c>
      <c r="H530" s="155">
        <v>0</v>
      </c>
      <c r="I530" s="155">
        <v>0</v>
      </c>
      <c r="J530" s="155">
        <v>0</v>
      </c>
      <c r="K530" s="155">
        <v>0</v>
      </c>
      <c r="L530" s="166">
        <v>0</v>
      </c>
      <c r="M530" s="155">
        <v>0</v>
      </c>
      <c r="N530" s="155">
        <v>602.82000000000005</v>
      </c>
      <c r="O530" s="151">
        <v>6917634.6500000004</v>
      </c>
      <c r="P530" s="155">
        <v>0</v>
      </c>
      <c r="Q530" s="155">
        <v>0</v>
      </c>
      <c r="R530" s="155">
        <v>0</v>
      </c>
      <c r="S530" s="155">
        <v>0</v>
      </c>
      <c r="T530" s="155">
        <v>0</v>
      </c>
      <c r="U530" s="155">
        <v>0</v>
      </c>
      <c r="V530" s="155">
        <v>0</v>
      </c>
      <c r="W530" s="155">
        <v>0</v>
      </c>
      <c r="X530" s="155">
        <v>0</v>
      </c>
      <c r="Y530" s="158">
        <v>0</v>
      </c>
      <c r="Z530" s="153">
        <f t="shared" si="171"/>
        <v>103764.52</v>
      </c>
      <c r="AA530" s="158">
        <v>0</v>
      </c>
      <c r="AB530" s="163" t="s">
        <v>425</v>
      </c>
      <c r="AC530" s="180">
        <v>2026</v>
      </c>
      <c r="AD530" s="180">
        <v>2026</v>
      </c>
    </row>
    <row r="531" spans="2:30" x14ac:dyDescent="0.3">
      <c r="B531" s="187">
        <v>9</v>
      </c>
      <c r="C531" s="188" t="s">
        <v>726</v>
      </c>
      <c r="D531" s="175"/>
      <c r="E531" s="153">
        <f t="shared" si="173"/>
        <v>4867859.09</v>
      </c>
      <c r="F531" s="155">
        <v>0</v>
      </c>
      <c r="G531" s="155">
        <v>0</v>
      </c>
      <c r="H531" s="155">
        <v>0</v>
      </c>
      <c r="I531" s="155">
        <v>0</v>
      </c>
      <c r="J531" s="155">
        <v>0</v>
      </c>
      <c r="K531" s="155">
        <v>0</v>
      </c>
      <c r="L531" s="166">
        <v>0</v>
      </c>
      <c r="M531" s="155">
        <v>0</v>
      </c>
      <c r="N531" s="155">
        <v>477.3</v>
      </c>
      <c r="O531" s="151">
        <v>4795920.29</v>
      </c>
      <c r="P531" s="155">
        <v>0</v>
      </c>
      <c r="Q531" s="155">
        <v>0</v>
      </c>
      <c r="R531" s="155">
        <v>0</v>
      </c>
      <c r="S531" s="155">
        <v>0</v>
      </c>
      <c r="T531" s="155">
        <v>0</v>
      </c>
      <c r="U531" s="155">
        <v>0</v>
      </c>
      <c r="V531" s="155">
        <v>0</v>
      </c>
      <c r="W531" s="155">
        <v>0</v>
      </c>
      <c r="X531" s="155">
        <v>0</v>
      </c>
      <c r="Y531" s="158">
        <v>0</v>
      </c>
      <c r="Z531" s="153">
        <f t="shared" si="171"/>
        <v>71938.8</v>
      </c>
      <c r="AA531" s="158">
        <v>0</v>
      </c>
      <c r="AB531" s="163" t="s">
        <v>425</v>
      </c>
      <c r="AC531" s="180">
        <v>2026</v>
      </c>
      <c r="AD531" s="180">
        <v>2026</v>
      </c>
    </row>
    <row r="532" spans="2:30" x14ac:dyDescent="0.3">
      <c r="B532" s="185" t="s">
        <v>688</v>
      </c>
      <c r="C532" s="188"/>
      <c r="D532" s="175"/>
      <c r="E532" s="155">
        <f>E533+E534</f>
        <v>17085646.080000002</v>
      </c>
      <c r="F532" s="155">
        <f t="shared" ref="F532:AA532" si="174">F533+F534</f>
        <v>0</v>
      </c>
      <c r="G532" s="155">
        <f t="shared" si="174"/>
        <v>0</v>
      </c>
      <c r="H532" s="155">
        <f t="shared" si="174"/>
        <v>0</v>
      </c>
      <c r="I532" s="155">
        <f t="shared" si="174"/>
        <v>0</v>
      </c>
      <c r="J532" s="155">
        <f t="shared" si="174"/>
        <v>0</v>
      </c>
      <c r="K532" s="155">
        <f t="shared" si="174"/>
        <v>0</v>
      </c>
      <c r="L532" s="162">
        <f t="shared" si="174"/>
        <v>0</v>
      </c>
      <c r="M532" s="155">
        <f t="shared" si="174"/>
        <v>0</v>
      </c>
      <c r="N532" s="155">
        <f t="shared" si="174"/>
        <v>1877.5</v>
      </c>
      <c r="O532" s="155">
        <f t="shared" si="174"/>
        <v>16833148.850000001</v>
      </c>
      <c r="P532" s="155">
        <f t="shared" si="174"/>
        <v>0</v>
      </c>
      <c r="Q532" s="155">
        <f t="shared" si="174"/>
        <v>0</v>
      </c>
      <c r="R532" s="155">
        <f t="shared" si="174"/>
        <v>0</v>
      </c>
      <c r="S532" s="155">
        <f t="shared" si="174"/>
        <v>0</v>
      </c>
      <c r="T532" s="155">
        <f t="shared" si="174"/>
        <v>0</v>
      </c>
      <c r="U532" s="155">
        <f t="shared" si="174"/>
        <v>0</v>
      </c>
      <c r="V532" s="155">
        <f t="shared" si="174"/>
        <v>0</v>
      </c>
      <c r="W532" s="155">
        <f t="shared" si="174"/>
        <v>0</v>
      </c>
      <c r="X532" s="155">
        <f t="shared" si="174"/>
        <v>0</v>
      </c>
      <c r="Y532" s="155">
        <f t="shared" si="174"/>
        <v>0</v>
      </c>
      <c r="Z532" s="155">
        <f t="shared" si="174"/>
        <v>252497.22999999998</v>
      </c>
      <c r="AA532" s="155">
        <f t="shared" si="174"/>
        <v>0</v>
      </c>
      <c r="AB532" s="132" t="s">
        <v>719</v>
      </c>
      <c r="AC532" s="132" t="s">
        <v>719</v>
      </c>
      <c r="AD532" s="132" t="s">
        <v>719</v>
      </c>
    </row>
    <row r="533" spans="2:30" x14ac:dyDescent="0.3">
      <c r="B533" s="187">
        <v>10</v>
      </c>
      <c r="C533" s="188" t="s">
        <v>727</v>
      </c>
      <c r="D533" s="175"/>
      <c r="E533" s="153">
        <f>F533+G533+H533+I533+J533+K533+M533+O533+Q533+S533+U533+V533+W533+X533+Y533+Z533+AA533</f>
        <v>9711931.5600000005</v>
      </c>
      <c r="F533" s="155">
        <v>0</v>
      </c>
      <c r="G533" s="155">
        <v>0</v>
      </c>
      <c r="H533" s="155">
        <v>0</v>
      </c>
      <c r="I533" s="155">
        <v>0</v>
      </c>
      <c r="J533" s="155">
        <v>0</v>
      </c>
      <c r="K533" s="155">
        <v>0</v>
      </c>
      <c r="L533" s="166">
        <v>0</v>
      </c>
      <c r="M533" s="155">
        <v>0</v>
      </c>
      <c r="N533" s="155">
        <v>1067.2</v>
      </c>
      <c r="O533" s="151">
        <v>9568405.4800000004</v>
      </c>
      <c r="P533" s="155">
        <v>0</v>
      </c>
      <c r="Q533" s="155">
        <v>0</v>
      </c>
      <c r="R533" s="155">
        <v>0</v>
      </c>
      <c r="S533" s="155">
        <v>0</v>
      </c>
      <c r="T533" s="155">
        <v>0</v>
      </c>
      <c r="U533" s="155">
        <v>0</v>
      </c>
      <c r="V533" s="155">
        <v>0</v>
      </c>
      <c r="W533" s="155">
        <v>0</v>
      </c>
      <c r="X533" s="155">
        <v>0</v>
      </c>
      <c r="Y533" s="158">
        <v>0</v>
      </c>
      <c r="Z533" s="153">
        <f t="shared" si="171"/>
        <v>143526.07999999999</v>
      </c>
      <c r="AA533" s="158">
        <v>0</v>
      </c>
      <c r="AB533" s="163" t="s">
        <v>425</v>
      </c>
      <c r="AC533" s="180">
        <v>2026</v>
      </c>
      <c r="AD533" s="180">
        <v>2026</v>
      </c>
    </row>
    <row r="534" spans="2:30" x14ac:dyDescent="0.3">
      <c r="B534" s="187">
        <v>11</v>
      </c>
      <c r="C534" s="188" t="s">
        <v>728</v>
      </c>
      <c r="D534" s="175"/>
      <c r="E534" s="153">
        <f>F534+G534+H534+I534+J534+K534+M534+O534+Q534+S534+U534+V534+W534+X534+Y534+Z534+AA534</f>
        <v>7373714.5200000005</v>
      </c>
      <c r="F534" s="155">
        <v>0</v>
      </c>
      <c r="G534" s="155">
        <v>0</v>
      </c>
      <c r="H534" s="155">
        <v>0</v>
      </c>
      <c r="I534" s="155">
        <v>0</v>
      </c>
      <c r="J534" s="155">
        <v>0</v>
      </c>
      <c r="K534" s="155">
        <v>0</v>
      </c>
      <c r="L534" s="166">
        <v>0</v>
      </c>
      <c r="M534" s="155">
        <v>0</v>
      </c>
      <c r="N534" s="155">
        <v>810.3</v>
      </c>
      <c r="O534" s="151">
        <v>7264743.3700000001</v>
      </c>
      <c r="P534" s="155">
        <v>0</v>
      </c>
      <c r="Q534" s="155">
        <v>0</v>
      </c>
      <c r="R534" s="155">
        <v>0</v>
      </c>
      <c r="S534" s="155">
        <v>0</v>
      </c>
      <c r="T534" s="155">
        <v>0</v>
      </c>
      <c r="U534" s="155">
        <v>0</v>
      </c>
      <c r="V534" s="155">
        <v>0</v>
      </c>
      <c r="W534" s="155">
        <v>0</v>
      </c>
      <c r="X534" s="155">
        <v>0</v>
      </c>
      <c r="Y534" s="158">
        <v>0</v>
      </c>
      <c r="Z534" s="153">
        <f t="shared" si="171"/>
        <v>108971.15</v>
      </c>
      <c r="AA534" s="158">
        <v>0</v>
      </c>
      <c r="AB534" s="163" t="s">
        <v>425</v>
      </c>
      <c r="AC534" s="180">
        <v>2026</v>
      </c>
      <c r="AD534" s="180">
        <v>2026</v>
      </c>
    </row>
    <row r="535" spans="2:30" x14ac:dyDescent="0.3">
      <c r="B535" s="185" t="s">
        <v>689</v>
      </c>
      <c r="C535" s="188"/>
      <c r="D535" s="175"/>
      <c r="E535" s="155">
        <f>E536</f>
        <v>3670648.0599999996</v>
      </c>
      <c r="F535" s="155">
        <f t="shared" ref="F535:AA535" si="175">F536</f>
        <v>0</v>
      </c>
      <c r="G535" s="155">
        <f t="shared" si="175"/>
        <v>0</v>
      </c>
      <c r="H535" s="155">
        <f t="shared" si="175"/>
        <v>0</v>
      </c>
      <c r="I535" s="155">
        <f t="shared" si="175"/>
        <v>0</v>
      </c>
      <c r="J535" s="155">
        <f t="shared" si="175"/>
        <v>0</v>
      </c>
      <c r="K535" s="155">
        <f t="shared" si="175"/>
        <v>0</v>
      </c>
      <c r="L535" s="162">
        <f t="shared" si="175"/>
        <v>0</v>
      </c>
      <c r="M535" s="155">
        <f t="shared" si="175"/>
        <v>0</v>
      </c>
      <c r="N535" s="155">
        <f t="shared" si="175"/>
        <v>725.51</v>
      </c>
      <c r="O535" s="155">
        <f t="shared" si="175"/>
        <v>3616402.03</v>
      </c>
      <c r="P535" s="155">
        <f t="shared" si="175"/>
        <v>0</v>
      </c>
      <c r="Q535" s="155">
        <f t="shared" si="175"/>
        <v>0</v>
      </c>
      <c r="R535" s="155">
        <f t="shared" si="175"/>
        <v>0</v>
      </c>
      <c r="S535" s="155">
        <f t="shared" si="175"/>
        <v>0</v>
      </c>
      <c r="T535" s="155">
        <f t="shared" si="175"/>
        <v>0</v>
      </c>
      <c r="U535" s="155">
        <f t="shared" si="175"/>
        <v>0</v>
      </c>
      <c r="V535" s="155">
        <f t="shared" si="175"/>
        <v>0</v>
      </c>
      <c r="W535" s="155">
        <f t="shared" si="175"/>
        <v>0</v>
      </c>
      <c r="X535" s="155">
        <f t="shared" si="175"/>
        <v>0</v>
      </c>
      <c r="Y535" s="155">
        <f t="shared" si="175"/>
        <v>0</v>
      </c>
      <c r="Z535" s="155">
        <f t="shared" si="175"/>
        <v>54246.03</v>
      </c>
      <c r="AA535" s="155">
        <f t="shared" si="175"/>
        <v>0</v>
      </c>
      <c r="AB535" s="132" t="s">
        <v>719</v>
      </c>
      <c r="AC535" s="132" t="s">
        <v>719</v>
      </c>
      <c r="AD535" s="132" t="s">
        <v>719</v>
      </c>
    </row>
    <row r="536" spans="2:30" x14ac:dyDescent="0.3">
      <c r="B536" s="187">
        <v>12</v>
      </c>
      <c r="C536" s="188" t="s">
        <v>729</v>
      </c>
      <c r="D536" s="175"/>
      <c r="E536" s="153">
        <f>F536+G536+H536+I536+J536+K536+M536+O536+Q536+S536+U536+V536+W536+X536+Y536+Z536+AA536</f>
        <v>3670648.0599999996</v>
      </c>
      <c r="F536" s="155">
        <v>0</v>
      </c>
      <c r="G536" s="155">
        <v>0</v>
      </c>
      <c r="H536" s="155">
        <v>0</v>
      </c>
      <c r="I536" s="155">
        <v>0</v>
      </c>
      <c r="J536" s="155">
        <v>0</v>
      </c>
      <c r="K536" s="155">
        <v>0</v>
      </c>
      <c r="L536" s="166">
        <v>0</v>
      </c>
      <c r="M536" s="155">
        <v>0</v>
      </c>
      <c r="N536" s="155">
        <v>725.51</v>
      </c>
      <c r="O536" s="151">
        <v>3616402.03</v>
      </c>
      <c r="P536" s="155">
        <v>0</v>
      </c>
      <c r="Q536" s="155">
        <v>0</v>
      </c>
      <c r="R536" s="155">
        <v>0</v>
      </c>
      <c r="S536" s="155">
        <v>0</v>
      </c>
      <c r="T536" s="155">
        <v>0</v>
      </c>
      <c r="U536" s="155">
        <v>0</v>
      </c>
      <c r="V536" s="155">
        <v>0</v>
      </c>
      <c r="W536" s="155">
        <v>0</v>
      </c>
      <c r="X536" s="155">
        <v>0</v>
      </c>
      <c r="Y536" s="158">
        <v>0</v>
      </c>
      <c r="Z536" s="153">
        <f t="shared" si="171"/>
        <v>54246.03</v>
      </c>
      <c r="AA536" s="158">
        <v>0</v>
      </c>
      <c r="AB536" s="163" t="s">
        <v>425</v>
      </c>
      <c r="AC536" s="180">
        <v>2026</v>
      </c>
      <c r="AD536" s="180">
        <v>2026</v>
      </c>
    </row>
    <row r="537" spans="2:30" x14ac:dyDescent="0.3">
      <c r="B537" s="185" t="s">
        <v>696</v>
      </c>
      <c r="C537" s="188"/>
      <c r="D537" s="175"/>
      <c r="E537" s="155">
        <f>SUM(E538:E543)</f>
        <v>39161299.740000002</v>
      </c>
      <c r="F537" s="155">
        <f t="shared" ref="F537:AA537" si="176">SUM(F538:F543)</f>
        <v>0</v>
      </c>
      <c r="G537" s="155">
        <f t="shared" si="176"/>
        <v>0</v>
      </c>
      <c r="H537" s="155">
        <f t="shared" si="176"/>
        <v>0</v>
      </c>
      <c r="I537" s="155">
        <f t="shared" si="176"/>
        <v>0</v>
      </c>
      <c r="J537" s="155">
        <f t="shared" si="176"/>
        <v>0</v>
      </c>
      <c r="K537" s="155">
        <f t="shared" si="176"/>
        <v>0</v>
      </c>
      <c r="L537" s="162">
        <f t="shared" si="176"/>
        <v>0</v>
      </c>
      <c r="M537" s="155">
        <f t="shared" si="176"/>
        <v>0</v>
      </c>
      <c r="N537" s="155">
        <f t="shared" si="176"/>
        <v>4314.5999999999995</v>
      </c>
      <c r="O537" s="155">
        <f t="shared" si="176"/>
        <v>38582561.320000008</v>
      </c>
      <c r="P537" s="155">
        <f t="shared" si="176"/>
        <v>0</v>
      </c>
      <c r="Q537" s="155">
        <f t="shared" si="176"/>
        <v>0</v>
      </c>
      <c r="R537" s="155">
        <f t="shared" si="176"/>
        <v>0</v>
      </c>
      <c r="S537" s="155">
        <f t="shared" si="176"/>
        <v>0</v>
      </c>
      <c r="T537" s="155">
        <f t="shared" si="176"/>
        <v>0</v>
      </c>
      <c r="U537" s="155">
        <f t="shared" si="176"/>
        <v>0</v>
      </c>
      <c r="V537" s="155">
        <f t="shared" si="176"/>
        <v>0</v>
      </c>
      <c r="W537" s="155">
        <f t="shared" si="176"/>
        <v>0</v>
      </c>
      <c r="X537" s="155">
        <f t="shared" si="176"/>
        <v>0</v>
      </c>
      <c r="Y537" s="155">
        <f t="shared" si="176"/>
        <v>0</v>
      </c>
      <c r="Z537" s="155">
        <f t="shared" si="176"/>
        <v>578738.41999999993</v>
      </c>
      <c r="AA537" s="155">
        <f t="shared" si="176"/>
        <v>0</v>
      </c>
      <c r="AB537" s="132" t="s">
        <v>719</v>
      </c>
      <c r="AC537" s="132" t="s">
        <v>719</v>
      </c>
      <c r="AD537" s="132" t="s">
        <v>719</v>
      </c>
    </row>
    <row r="538" spans="2:30" x14ac:dyDescent="0.3">
      <c r="B538" s="187">
        <v>13</v>
      </c>
      <c r="C538" s="188" t="s">
        <v>759</v>
      </c>
      <c r="D538" s="175"/>
      <c r="E538" s="153">
        <f>F538+G538+H538+I538+J538+K538+M538+O538+Q538+S538+U538+V538+W538+X538+Y538+Z538+AA538</f>
        <v>6840956.6600000001</v>
      </c>
      <c r="F538" s="155">
        <v>0</v>
      </c>
      <c r="G538" s="155">
        <v>0</v>
      </c>
      <c r="H538" s="155">
        <v>0</v>
      </c>
      <c r="I538" s="155">
        <v>0</v>
      </c>
      <c r="J538" s="155">
        <v>0</v>
      </c>
      <c r="K538" s="155">
        <v>0</v>
      </c>
      <c r="L538" s="166">
        <v>0</v>
      </c>
      <c r="M538" s="155">
        <v>0</v>
      </c>
      <c r="N538" s="155">
        <v>702.8</v>
      </c>
      <c r="O538" s="151">
        <v>6739858.7800000003</v>
      </c>
      <c r="P538" s="155">
        <v>0</v>
      </c>
      <c r="Q538" s="155">
        <v>0</v>
      </c>
      <c r="R538" s="155">
        <v>0</v>
      </c>
      <c r="S538" s="155">
        <v>0</v>
      </c>
      <c r="T538" s="155">
        <v>0</v>
      </c>
      <c r="U538" s="155">
        <v>0</v>
      </c>
      <c r="V538" s="155">
        <v>0</v>
      </c>
      <c r="W538" s="155">
        <v>0</v>
      </c>
      <c r="X538" s="155">
        <v>0</v>
      </c>
      <c r="Y538" s="158">
        <v>0</v>
      </c>
      <c r="Z538" s="153">
        <f>ROUND(O538*1.5%,2)</f>
        <v>101097.88</v>
      </c>
      <c r="AA538" s="158">
        <v>0</v>
      </c>
      <c r="AB538" s="163" t="s">
        <v>425</v>
      </c>
      <c r="AC538" s="180">
        <v>2026</v>
      </c>
      <c r="AD538" s="180">
        <v>2026</v>
      </c>
    </row>
    <row r="539" spans="2:30" x14ac:dyDescent="0.3">
      <c r="B539" s="187">
        <v>14</v>
      </c>
      <c r="C539" s="188" t="s">
        <v>760</v>
      </c>
      <c r="D539" s="175"/>
      <c r="E539" s="153">
        <f t="shared" ref="E539:E551" si="177">F539+G539+H539+I539+J539+K539+M539+O539+Q539+S539+U539+V539+W539+X539+Y539+Z539+AA539</f>
        <v>7140289.8900000006</v>
      </c>
      <c r="F539" s="155">
        <v>0</v>
      </c>
      <c r="G539" s="155">
        <v>0</v>
      </c>
      <c r="H539" s="155">
        <v>0</v>
      </c>
      <c r="I539" s="155">
        <v>0</v>
      </c>
      <c r="J539" s="155">
        <v>0</v>
      </c>
      <c r="K539" s="155">
        <v>0</v>
      </c>
      <c r="L539" s="166">
        <v>0</v>
      </c>
      <c r="M539" s="155">
        <v>0</v>
      </c>
      <c r="N539" s="155">
        <v>734.4</v>
      </c>
      <c r="O539" s="151">
        <v>7034768.3600000003</v>
      </c>
      <c r="P539" s="155">
        <v>0</v>
      </c>
      <c r="Q539" s="155">
        <v>0</v>
      </c>
      <c r="R539" s="155">
        <v>0</v>
      </c>
      <c r="S539" s="155">
        <v>0</v>
      </c>
      <c r="T539" s="155">
        <v>0</v>
      </c>
      <c r="U539" s="155">
        <v>0</v>
      </c>
      <c r="V539" s="155">
        <v>0</v>
      </c>
      <c r="W539" s="155">
        <v>0</v>
      </c>
      <c r="X539" s="155">
        <v>0</v>
      </c>
      <c r="Y539" s="158">
        <v>0</v>
      </c>
      <c r="Z539" s="153">
        <f>ROUND(O539*1.5%,2)</f>
        <v>105521.53</v>
      </c>
      <c r="AA539" s="158">
        <v>0</v>
      </c>
      <c r="AB539" s="163" t="s">
        <v>425</v>
      </c>
      <c r="AC539" s="180">
        <v>2026</v>
      </c>
      <c r="AD539" s="180">
        <v>2026</v>
      </c>
    </row>
    <row r="540" spans="2:30" ht="37.5" x14ac:dyDescent="0.3">
      <c r="B540" s="187">
        <v>15</v>
      </c>
      <c r="C540" s="188" t="s">
        <v>761</v>
      </c>
      <c r="D540" s="175"/>
      <c r="E540" s="153">
        <f t="shared" si="177"/>
        <v>6347063.4299999997</v>
      </c>
      <c r="F540" s="155">
        <v>0</v>
      </c>
      <c r="G540" s="155">
        <v>0</v>
      </c>
      <c r="H540" s="155">
        <v>0</v>
      </c>
      <c r="I540" s="155">
        <v>0</v>
      </c>
      <c r="J540" s="155">
        <v>0</v>
      </c>
      <c r="K540" s="155">
        <v>0</v>
      </c>
      <c r="L540" s="166">
        <v>0</v>
      </c>
      <c r="M540" s="155">
        <v>0</v>
      </c>
      <c r="N540" s="155">
        <v>605.5</v>
      </c>
      <c r="O540" s="151">
        <v>6253264.46</v>
      </c>
      <c r="P540" s="155">
        <v>0</v>
      </c>
      <c r="Q540" s="155">
        <v>0</v>
      </c>
      <c r="R540" s="155">
        <v>0</v>
      </c>
      <c r="S540" s="155">
        <v>0</v>
      </c>
      <c r="T540" s="155">
        <v>0</v>
      </c>
      <c r="U540" s="155">
        <v>0</v>
      </c>
      <c r="V540" s="155">
        <v>0</v>
      </c>
      <c r="W540" s="155">
        <v>0</v>
      </c>
      <c r="X540" s="155">
        <v>0</v>
      </c>
      <c r="Y540" s="158">
        <v>0</v>
      </c>
      <c r="Z540" s="153">
        <f>ROUND(O540*1.5%,2)</f>
        <v>93798.97</v>
      </c>
      <c r="AA540" s="158">
        <v>0</v>
      </c>
      <c r="AB540" s="163" t="s">
        <v>425</v>
      </c>
      <c r="AC540" s="180">
        <v>2026</v>
      </c>
      <c r="AD540" s="180">
        <v>2026</v>
      </c>
    </row>
    <row r="541" spans="2:30" x14ac:dyDescent="0.3">
      <c r="B541" s="187">
        <v>16</v>
      </c>
      <c r="C541" s="188" t="s">
        <v>762</v>
      </c>
      <c r="D541" s="175"/>
      <c r="E541" s="153">
        <f t="shared" si="177"/>
        <v>8257360.2400000002</v>
      </c>
      <c r="F541" s="155">
        <v>0</v>
      </c>
      <c r="G541" s="155">
        <v>0</v>
      </c>
      <c r="H541" s="155">
        <v>0</v>
      </c>
      <c r="I541" s="155">
        <v>0</v>
      </c>
      <c r="J541" s="155">
        <v>0</v>
      </c>
      <c r="K541" s="155">
        <v>0</v>
      </c>
      <c r="L541" s="166">
        <v>0</v>
      </c>
      <c r="M541" s="155">
        <v>0</v>
      </c>
      <c r="N541" s="155">
        <v>823</v>
      </c>
      <c r="O541" s="151">
        <v>8135330.29</v>
      </c>
      <c r="P541" s="155">
        <v>0</v>
      </c>
      <c r="Q541" s="155">
        <v>0</v>
      </c>
      <c r="R541" s="155">
        <v>0</v>
      </c>
      <c r="S541" s="155">
        <v>0</v>
      </c>
      <c r="T541" s="155">
        <v>0</v>
      </c>
      <c r="U541" s="155">
        <v>0</v>
      </c>
      <c r="V541" s="155">
        <v>0</v>
      </c>
      <c r="W541" s="155">
        <v>0</v>
      </c>
      <c r="X541" s="155">
        <v>0</v>
      </c>
      <c r="Y541" s="158">
        <v>0</v>
      </c>
      <c r="Z541" s="153">
        <f>ROUND(O541*1.5%,2)</f>
        <v>122029.95</v>
      </c>
      <c r="AA541" s="158">
        <v>0</v>
      </c>
      <c r="AB541" s="163" t="s">
        <v>425</v>
      </c>
      <c r="AC541" s="180">
        <v>2026</v>
      </c>
      <c r="AD541" s="180">
        <v>2026</v>
      </c>
    </row>
    <row r="542" spans="2:30" x14ac:dyDescent="0.3">
      <c r="B542" s="187">
        <v>17</v>
      </c>
      <c r="C542" s="188" t="s">
        <v>763</v>
      </c>
      <c r="D542" s="175"/>
      <c r="E542" s="153">
        <f t="shared" si="177"/>
        <v>5552060.6400000006</v>
      </c>
      <c r="F542" s="155">
        <v>0</v>
      </c>
      <c r="G542" s="155">
        <v>0</v>
      </c>
      <c r="H542" s="155">
        <v>0</v>
      </c>
      <c r="I542" s="155">
        <v>0</v>
      </c>
      <c r="J542" s="155">
        <v>0</v>
      </c>
      <c r="K542" s="155">
        <v>0</v>
      </c>
      <c r="L542" s="166">
        <v>0</v>
      </c>
      <c r="M542" s="155">
        <v>0</v>
      </c>
      <c r="N542" s="155">
        <v>699.1</v>
      </c>
      <c r="O542" s="151">
        <v>5470010.4800000004</v>
      </c>
      <c r="P542" s="155">
        <v>0</v>
      </c>
      <c r="Q542" s="155">
        <v>0</v>
      </c>
      <c r="R542" s="155">
        <v>0</v>
      </c>
      <c r="S542" s="155">
        <v>0</v>
      </c>
      <c r="T542" s="155">
        <v>0</v>
      </c>
      <c r="U542" s="155">
        <v>0</v>
      </c>
      <c r="V542" s="155">
        <v>0</v>
      </c>
      <c r="W542" s="155">
        <v>0</v>
      </c>
      <c r="X542" s="155">
        <v>0</v>
      </c>
      <c r="Y542" s="158">
        <v>0</v>
      </c>
      <c r="Z542" s="153">
        <f>ROUND(O542*1.5%,2)</f>
        <v>82050.16</v>
      </c>
      <c r="AA542" s="158">
        <v>0</v>
      </c>
      <c r="AB542" s="163" t="s">
        <v>425</v>
      </c>
      <c r="AC542" s="180">
        <v>2026</v>
      </c>
      <c r="AD542" s="180">
        <v>2026</v>
      </c>
    </row>
    <row r="543" spans="2:30" x14ac:dyDescent="0.3">
      <c r="B543" s="187">
        <v>18</v>
      </c>
      <c r="C543" s="188" t="s">
        <v>764</v>
      </c>
      <c r="D543" s="175"/>
      <c r="E543" s="153">
        <f t="shared" si="177"/>
        <v>5023568.88</v>
      </c>
      <c r="F543" s="155">
        <v>0</v>
      </c>
      <c r="G543" s="155">
        <v>0</v>
      </c>
      <c r="H543" s="155">
        <v>0</v>
      </c>
      <c r="I543" s="155">
        <v>0</v>
      </c>
      <c r="J543" s="155">
        <v>0</v>
      </c>
      <c r="K543" s="155">
        <v>0</v>
      </c>
      <c r="L543" s="166">
        <v>0</v>
      </c>
      <c r="M543" s="155">
        <v>0</v>
      </c>
      <c r="N543" s="155">
        <v>749.8</v>
      </c>
      <c r="O543" s="151">
        <v>4949328.95</v>
      </c>
      <c r="P543" s="155">
        <v>0</v>
      </c>
      <c r="Q543" s="155">
        <v>0</v>
      </c>
      <c r="R543" s="155">
        <v>0</v>
      </c>
      <c r="S543" s="155">
        <v>0</v>
      </c>
      <c r="T543" s="155">
        <v>0</v>
      </c>
      <c r="U543" s="155">
        <v>0</v>
      </c>
      <c r="V543" s="155">
        <v>0</v>
      </c>
      <c r="W543" s="155">
        <v>0</v>
      </c>
      <c r="X543" s="155">
        <v>0</v>
      </c>
      <c r="Y543" s="158">
        <v>0</v>
      </c>
      <c r="Z543" s="153">
        <f t="shared" ref="Z543" si="178">ROUND(O543*1.5%,2)</f>
        <v>74239.929999999993</v>
      </c>
      <c r="AA543" s="158">
        <v>0</v>
      </c>
      <c r="AB543" s="163" t="s">
        <v>425</v>
      </c>
      <c r="AC543" s="180">
        <v>2026</v>
      </c>
      <c r="AD543" s="180">
        <v>2026</v>
      </c>
    </row>
    <row r="544" spans="2:30" x14ac:dyDescent="0.3">
      <c r="B544" s="185" t="s">
        <v>693</v>
      </c>
      <c r="C544" s="188"/>
      <c r="D544" s="175"/>
      <c r="E544" s="155">
        <f>E545+E546</f>
        <v>14462598.57</v>
      </c>
      <c r="F544" s="155">
        <f t="shared" ref="F544:AA544" si="179">F545+F546</f>
        <v>0</v>
      </c>
      <c r="G544" s="155">
        <f t="shared" si="179"/>
        <v>0</v>
      </c>
      <c r="H544" s="155">
        <f t="shared" si="179"/>
        <v>0</v>
      </c>
      <c r="I544" s="155">
        <f t="shared" si="179"/>
        <v>0</v>
      </c>
      <c r="J544" s="155">
        <f t="shared" si="179"/>
        <v>0</v>
      </c>
      <c r="K544" s="155">
        <f t="shared" si="179"/>
        <v>0</v>
      </c>
      <c r="L544" s="166">
        <f t="shared" si="179"/>
        <v>0</v>
      </c>
      <c r="M544" s="155">
        <f t="shared" si="179"/>
        <v>0</v>
      </c>
      <c r="N544" s="155">
        <f t="shared" si="179"/>
        <v>1432</v>
      </c>
      <c r="O544" s="155">
        <f t="shared" si="179"/>
        <v>14248865.59</v>
      </c>
      <c r="P544" s="155">
        <f t="shared" si="179"/>
        <v>0</v>
      </c>
      <c r="Q544" s="155">
        <f t="shared" si="179"/>
        <v>0</v>
      </c>
      <c r="R544" s="155">
        <f t="shared" si="179"/>
        <v>0</v>
      </c>
      <c r="S544" s="155">
        <f t="shared" si="179"/>
        <v>0</v>
      </c>
      <c r="T544" s="155">
        <f t="shared" si="179"/>
        <v>0</v>
      </c>
      <c r="U544" s="155">
        <f t="shared" si="179"/>
        <v>0</v>
      </c>
      <c r="V544" s="155">
        <f t="shared" si="179"/>
        <v>0</v>
      </c>
      <c r="W544" s="155">
        <f t="shared" si="179"/>
        <v>0</v>
      </c>
      <c r="X544" s="155">
        <f t="shared" si="179"/>
        <v>0</v>
      </c>
      <c r="Y544" s="155">
        <f t="shared" si="179"/>
        <v>0</v>
      </c>
      <c r="Z544" s="155">
        <f t="shared" si="179"/>
        <v>213732.97999999998</v>
      </c>
      <c r="AA544" s="155">
        <f t="shared" si="179"/>
        <v>0</v>
      </c>
      <c r="AB544" s="132" t="s">
        <v>719</v>
      </c>
      <c r="AC544" s="132" t="s">
        <v>719</v>
      </c>
      <c r="AD544" s="132" t="s">
        <v>719</v>
      </c>
    </row>
    <row r="545" spans="2:30" x14ac:dyDescent="0.3">
      <c r="B545" s="187">
        <v>19</v>
      </c>
      <c r="C545" s="188" t="s">
        <v>772</v>
      </c>
      <c r="D545" s="189"/>
      <c r="E545" s="153">
        <f t="shared" si="177"/>
        <v>8645969.129999999</v>
      </c>
      <c r="F545" s="155">
        <v>0</v>
      </c>
      <c r="G545" s="155">
        <v>0</v>
      </c>
      <c r="H545" s="155">
        <v>0</v>
      </c>
      <c r="I545" s="155">
        <v>0</v>
      </c>
      <c r="J545" s="155">
        <v>0</v>
      </c>
      <c r="K545" s="155">
        <v>0</v>
      </c>
      <c r="L545" s="166">
        <v>0</v>
      </c>
      <c r="M545" s="155">
        <v>0</v>
      </c>
      <c r="N545" s="155">
        <v>906</v>
      </c>
      <c r="O545" s="151">
        <v>8518196.1899999995</v>
      </c>
      <c r="P545" s="155">
        <v>0</v>
      </c>
      <c r="Q545" s="155">
        <v>0</v>
      </c>
      <c r="R545" s="155">
        <v>0</v>
      </c>
      <c r="S545" s="155">
        <v>0</v>
      </c>
      <c r="T545" s="155">
        <v>0</v>
      </c>
      <c r="U545" s="155">
        <v>0</v>
      </c>
      <c r="V545" s="155">
        <v>0</v>
      </c>
      <c r="W545" s="155">
        <v>0</v>
      </c>
      <c r="X545" s="155">
        <v>0</v>
      </c>
      <c r="Y545" s="158">
        <v>0</v>
      </c>
      <c r="Z545" s="153">
        <f>ROUND(O545*1.5%,2)</f>
        <v>127772.94</v>
      </c>
      <c r="AA545" s="158">
        <v>0</v>
      </c>
      <c r="AB545" s="163" t="s">
        <v>425</v>
      </c>
      <c r="AC545" s="180">
        <v>2026</v>
      </c>
      <c r="AD545" s="180">
        <v>2026</v>
      </c>
    </row>
    <row r="546" spans="2:30" x14ac:dyDescent="0.3">
      <c r="B546" s="187">
        <v>20</v>
      </c>
      <c r="C546" s="188" t="s">
        <v>773</v>
      </c>
      <c r="D546" s="189"/>
      <c r="E546" s="153">
        <f t="shared" si="177"/>
        <v>5816629.4400000004</v>
      </c>
      <c r="F546" s="155">
        <v>0</v>
      </c>
      <c r="G546" s="155">
        <v>0</v>
      </c>
      <c r="H546" s="155">
        <v>0</v>
      </c>
      <c r="I546" s="155">
        <v>0</v>
      </c>
      <c r="J546" s="155">
        <v>0</v>
      </c>
      <c r="K546" s="155">
        <v>0</v>
      </c>
      <c r="L546" s="166">
        <v>0</v>
      </c>
      <c r="M546" s="155">
        <v>0</v>
      </c>
      <c r="N546" s="155">
        <v>526</v>
      </c>
      <c r="O546" s="151">
        <v>5730669.4000000004</v>
      </c>
      <c r="P546" s="155">
        <v>0</v>
      </c>
      <c r="Q546" s="155">
        <v>0</v>
      </c>
      <c r="R546" s="155">
        <v>0</v>
      </c>
      <c r="S546" s="155">
        <v>0</v>
      </c>
      <c r="T546" s="155">
        <v>0</v>
      </c>
      <c r="U546" s="155">
        <v>0</v>
      </c>
      <c r="V546" s="155">
        <v>0</v>
      </c>
      <c r="W546" s="155">
        <v>0</v>
      </c>
      <c r="X546" s="155">
        <v>0</v>
      </c>
      <c r="Y546" s="158">
        <v>0</v>
      </c>
      <c r="Z546" s="153">
        <f t="shared" ref="Z546" si="180">ROUND(O546*1.5%,2)</f>
        <v>85960.04</v>
      </c>
      <c r="AA546" s="158">
        <v>0</v>
      </c>
      <c r="AB546" s="163" t="s">
        <v>425</v>
      </c>
      <c r="AC546" s="180">
        <v>2026</v>
      </c>
      <c r="AD546" s="180">
        <v>2026</v>
      </c>
    </row>
    <row r="547" spans="2:30" x14ac:dyDescent="0.3">
      <c r="B547" s="185" t="s">
        <v>676</v>
      </c>
      <c r="C547" s="188"/>
      <c r="D547" s="175"/>
      <c r="E547" s="155">
        <f>E548+E549</f>
        <v>21472503.989999998</v>
      </c>
      <c r="F547" s="155">
        <f t="shared" ref="F547:AA547" si="181">F548+F549</f>
        <v>0</v>
      </c>
      <c r="G547" s="155">
        <f t="shared" si="181"/>
        <v>0</v>
      </c>
      <c r="H547" s="155">
        <f t="shared" si="181"/>
        <v>0</v>
      </c>
      <c r="I547" s="155">
        <f t="shared" si="181"/>
        <v>0</v>
      </c>
      <c r="J547" s="155">
        <f t="shared" si="181"/>
        <v>0</v>
      </c>
      <c r="K547" s="155">
        <f t="shared" si="181"/>
        <v>0</v>
      </c>
      <c r="L547" s="166">
        <f t="shared" si="181"/>
        <v>0</v>
      </c>
      <c r="M547" s="155">
        <f t="shared" si="181"/>
        <v>0</v>
      </c>
      <c r="N547" s="155">
        <f t="shared" si="181"/>
        <v>1886.65</v>
      </c>
      <c r="O547" s="155">
        <f t="shared" si="181"/>
        <v>21155176.350000001</v>
      </c>
      <c r="P547" s="155">
        <f t="shared" si="181"/>
        <v>0</v>
      </c>
      <c r="Q547" s="155">
        <f t="shared" si="181"/>
        <v>0</v>
      </c>
      <c r="R547" s="155">
        <f t="shared" si="181"/>
        <v>0</v>
      </c>
      <c r="S547" s="155">
        <f t="shared" si="181"/>
        <v>0</v>
      </c>
      <c r="T547" s="155">
        <f t="shared" si="181"/>
        <v>0</v>
      </c>
      <c r="U547" s="155">
        <f t="shared" si="181"/>
        <v>0</v>
      </c>
      <c r="V547" s="155">
        <f t="shared" si="181"/>
        <v>0</v>
      </c>
      <c r="W547" s="155">
        <f t="shared" si="181"/>
        <v>0</v>
      </c>
      <c r="X547" s="155">
        <f t="shared" si="181"/>
        <v>0</v>
      </c>
      <c r="Y547" s="155">
        <f t="shared" si="181"/>
        <v>0</v>
      </c>
      <c r="Z547" s="155">
        <f t="shared" si="181"/>
        <v>317327.64</v>
      </c>
      <c r="AA547" s="155">
        <f t="shared" si="181"/>
        <v>0</v>
      </c>
      <c r="AB547" s="132" t="s">
        <v>719</v>
      </c>
      <c r="AC547" s="132" t="s">
        <v>719</v>
      </c>
      <c r="AD547" s="132" t="s">
        <v>719</v>
      </c>
    </row>
    <row r="548" spans="2:30" x14ac:dyDescent="0.3">
      <c r="B548" s="187">
        <v>21</v>
      </c>
      <c r="C548" s="188" t="s">
        <v>774</v>
      </c>
      <c r="D548" s="189"/>
      <c r="E548" s="153">
        <f t="shared" si="177"/>
        <v>15457317.359999999</v>
      </c>
      <c r="F548" s="155">
        <v>0</v>
      </c>
      <c r="G548" s="155">
        <v>0</v>
      </c>
      <c r="H548" s="155">
        <v>0</v>
      </c>
      <c r="I548" s="155">
        <v>0</v>
      </c>
      <c r="J548" s="155">
        <v>0</v>
      </c>
      <c r="K548" s="155">
        <v>0</v>
      </c>
      <c r="L548" s="166">
        <v>0</v>
      </c>
      <c r="M548" s="155">
        <v>0</v>
      </c>
      <c r="N548" s="155">
        <v>1300.6500000000001</v>
      </c>
      <c r="O548" s="151">
        <v>15228884.1</v>
      </c>
      <c r="P548" s="155">
        <v>0</v>
      </c>
      <c r="Q548" s="155">
        <v>0</v>
      </c>
      <c r="R548" s="155">
        <v>0</v>
      </c>
      <c r="S548" s="155">
        <v>0</v>
      </c>
      <c r="T548" s="155">
        <v>0</v>
      </c>
      <c r="U548" s="155">
        <v>0</v>
      </c>
      <c r="V548" s="155">
        <v>0</v>
      </c>
      <c r="W548" s="155">
        <v>0</v>
      </c>
      <c r="X548" s="155">
        <v>0</v>
      </c>
      <c r="Y548" s="158">
        <v>0</v>
      </c>
      <c r="Z548" s="153">
        <f>ROUND(O548*1.5%,2)</f>
        <v>228433.26</v>
      </c>
      <c r="AA548" s="158">
        <v>0</v>
      </c>
      <c r="AB548" s="163" t="s">
        <v>425</v>
      </c>
      <c r="AC548" s="180">
        <v>2026</v>
      </c>
      <c r="AD548" s="180">
        <v>2026</v>
      </c>
    </row>
    <row r="549" spans="2:30" x14ac:dyDescent="0.3">
      <c r="B549" s="187">
        <v>22</v>
      </c>
      <c r="C549" s="188" t="s">
        <v>775</v>
      </c>
      <c r="D549" s="189"/>
      <c r="E549" s="153">
        <f t="shared" si="177"/>
        <v>6015186.6299999999</v>
      </c>
      <c r="F549" s="155">
        <v>0</v>
      </c>
      <c r="G549" s="155">
        <v>0</v>
      </c>
      <c r="H549" s="155">
        <v>0</v>
      </c>
      <c r="I549" s="155">
        <v>0</v>
      </c>
      <c r="J549" s="155">
        <v>0</v>
      </c>
      <c r="K549" s="155">
        <v>0</v>
      </c>
      <c r="L549" s="166">
        <v>0</v>
      </c>
      <c r="M549" s="155">
        <v>0</v>
      </c>
      <c r="N549" s="155">
        <v>586</v>
      </c>
      <c r="O549" s="151">
        <v>5926292.25</v>
      </c>
      <c r="P549" s="155">
        <v>0</v>
      </c>
      <c r="Q549" s="155">
        <v>0</v>
      </c>
      <c r="R549" s="155">
        <v>0</v>
      </c>
      <c r="S549" s="155">
        <v>0</v>
      </c>
      <c r="T549" s="155">
        <v>0</v>
      </c>
      <c r="U549" s="155">
        <v>0</v>
      </c>
      <c r="V549" s="155">
        <v>0</v>
      </c>
      <c r="W549" s="155">
        <v>0</v>
      </c>
      <c r="X549" s="155">
        <v>0</v>
      </c>
      <c r="Y549" s="158">
        <v>0</v>
      </c>
      <c r="Z549" s="153">
        <f t="shared" ref="Z549:Z551" si="182">ROUND(O549*1.5%,2)</f>
        <v>88894.38</v>
      </c>
      <c r="AA549" s="158">
        <v>0</v>
      </c>
      <c r="AB549" s="163" t="s">
        <v>425</v>
      </c>
      <c r="AC549" s="180">
        <v>2026</v>
      </c>
      <c r="AD549" s="180">
        <v>2026</v>
      </c>
    </row>
    <row r="550" spans="2:30" x14ac:dyDescent="0.3">
      <c r="B550" s="185" t="s">
        <v>667</v>
      </c>
      <c r="C550" s="188"/>
      <c r="D550" s="175"/>
      <c r="E550" s="155">
        <f>E551</f>
        <v>9165155.9600000009</v>
      </c>
      <c r="F550" s="155">
        <f t="shared" ref="F550:AA550" si="183">F551</f>
        <v>0</v>
      </c>
      <c r="G550" s="155">
        <f t="shared" si="183"/>
        <v>0</v>
      </c>
      <c r="H550" s="155">
        <f t="shared" si="183"/>
        <v>0</v>
      </c>
      <c r="I550" s="155">
        <f t="shared" si="183"/>
        <v>0</v>
      </c>
      <c r="J550" s="155">
        <f t="shared" si="183"/>
        <v>0</v>
      </c>
      <c r="K550" s="155">
        <f t="shared" si="183"/>
        <v>0</v>
      </c>
      <c r="L550" s="166">
        <f t="shared" si="183"/>
        <v>0</v>
      </c>
      <c r="M550" s="155">
        <f t="shared" si="183"/>
        <v>0</v>
      </c>
      <c r="N550" s="155">
        <f t="shared" si="183"/>
        <v>849</v>
      </c>
      <c r="O550" s="155">
        <f t="shared" si="183"/>
        <v>9029710.3100000005</v>
      </c>
      <c r="P550" s="155">
        <f t="shared" si="183"/>
        <v>0</v>
      </c>
      <c r="Q550" s="155">
        <f t="shared" si="183"/>
        <v>0</v>
      </c>
      <c r="R550" s="155">
        <f t="shared" si="183"/>
        <v>0</v>
      </c>
      <c r="S550" s="155">
        <f t="shared" si="183"/>
        <v>0</v>
      </c>
      <c r="T550" s="155">
        <f t="shared" si="183"/>
        <v>0</v>
      </c>
      <c r="U550" s="155">
        <f t="shared" si="183"/>
        <v>0</v>
      </c>
      <c r="V550" s="155">
        <f t="shared" si="183"/>
        <v>0</v>
      </c>
      <c r="W550" s="155">
        <f t="shared" si="183"/>
        <v>0</v>
      </c>
      <c r="X550" s="155">
        <f t="shared" si="183"/>
        <v>0</v>
      </c>
      <c r="Y550" s="155">
        <f t="shared" si="183"/>
        <v>0</v>
      </c>
      <c r="Z550" s="155">
        <f t="shared" si="183"/>
        <v>135445.65</v>
      </c>
      <c r="AA550" s="155">
        <f t="shared" si="183"/>
        <v>0</v>
      </c>
      <c r="AB550" s="132" t="s">
        <v>719</v>
      </c>
      <c r="AC550" s="132" t="s">
        <v>719</v>
      </c>
      <c r="AD550" s="132" t="s">
        <v>719</v>
      </c>
    </row>
    <row r="551" spans="2:30" x14ac:dyDescent="0.3">
      <c r="B551" s="187">
        <v>23</v>
      </c>
      <c r="C551" s="188" t="s">
        <v>672</v>
      </c>
      <c r="D551" s="189"/>
      <c r="E551" s="153">
        <f t="shared" si="177"/>
        <v>9165155.9600000009</v>
      </c>
      <c r="F551" s="155">
        <v>0</v>
      </c>
      <c r="G551" s="155">
        <v>0</v>
      </c>
      <c r="H551" s="155">
        <v>0</v>
      </c>
      <c r="I551" s="155">
        <v>0</v>
      </c>
      <c r="J551" s="155">
        <v>0</v>
      </c>
      <c r="K551" s="155">
        <v>0</v>
      </c>
      <c r="L551" s="166">
        <v>0</v>
      </c>
      <c r="M551" s="155">
        <v>0</v>
      </c>
      <c r="N551" s="155">
        <v>849</v>
      </c>
      <c r="O551" s="151">
        <v>9029710.3100000005</v>
      </c>
      <c r="P551" s="155">
        <v>0</v>
      </c>
      <c r="Q551" s="155">
        <v>0</v>
      </c>
      <c r="R551" s="155">
        <v>0</v>
      </c>
      <c r="S551" s="155">
        <v>0</v>
      </c>
      <c r="T551" s="155">
        <v>0</v>
      </c>
      <c r="U551" s="155">
        <v>0</v>
      </c>
      <c r="V551" s="155">
        <v>0</v>
      </c>
      <c r="W551" s="155">
        <v>0</v>
      </c>
      <c r="X551" s="155">
        <v>0</v>
      </c>
      <c r="Y551" s="158">
        <v>0</v>
      </c>
      <c r="Z551" s="153">
        <f t="shared" si="182"/>
        <v>135445.65</v>
      </c>
      <c r="AA551" s="158">
        <v>0</v>
      </c>
      <c r="AB551" s="163" t="s">
        <v>425</v>
      </c>
      <c r="AC551" s="180">
        <v>2026</v>
      </c>
      <c r="AD551" s="180">
        <v>2026</v>
      </c>
    </row>
  </sheetData>
  <mergeCells count="34">
    <mergeCell ref="B6:AD6"/>
    <mergeCell ref="B8:B14"/>
    <mergeCell ref="C8:C14"/>
    <mergeCell ref="E8:E13"/>
    <mergeCell ref="F8:U8"/>
    <mergeCell ref="V8:AA8"/>
    <mergeCell ref="V9:V13"/>
    <mergeCell ref="W9:W13"/>
    <mergeCell ref="X9:X13"/>
    <mergeCell ref="P9:Q13"/>
    <mergeCell ref="R9:S13"/>
    <mergeCell ref="T9:U13"/>
    <mergeCell ref="F9:K9"/>
    <mergeCell ref="L9:M13"/>
    <mergeCell ref="AB1:AD1"/>
    <mergeCell ref="Y2:AD2"/>
    <mergeCell ref="AA3:AD3"/>
    <mergeCell ref="B4:AD4"/>
    <mergeCell ref="B5:AD5"/>
    <mergeCell ref="B519:AD519"/>
    <mergeCell ref="B515:AD515"/>
    <mergeCell ref="AB8:AB14"/>
    <mergeCell ref="AC8:AC14"/>
    <mergeCell ref="AD8:AD14"/>
    <mergeCell ref="Y9:Y13"/>
    <mergeCell ref="Z9:Z13"/>
    <mergeCell ref="AA9:AA13"/>
    <mergeCell ref="F10:F13"/>
    <mergeCell ref="G10:G13"/>
    <mergeCell ref="H10:H13"/>
    <mergeCell ref="I10:I13"/>
    <mergeCell ref="J10:J13"/>
    <mergeCell ref="N9:O13"/>
    <mergeCell ref="K10:K13"/>
  </mergeCells>
  <pageMargins left="0.23622047244094491" right="0.23622047244094491" top="0.74803149606299213" bottom="0.31496062992125984" header="0.31496062992125984" footer="0.31496062992125984"/>
  <pageSetup paperSize="8" scale="29" fitToHeight="0" orientation="landscape" r:id="rId1"/>
  <headerFooter differentFirst="1">
    <oddHeader>&amp;C&amp;"Times New Roman,обычный"&amp;24&amp;P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887E-2F5C-4FA4-B217-EBF22B61777E}">
  <sheetPr>
    <pageSetUpPr fitToPage="1"/>
  </sheetPr>
  <dimension ref="A1:CR11625"/>
  <sheetViews>
    <sheetView tabSelected="1" topLeftCell="B1" zoomScale="30" zoomScaleNormal="30" workbookViewId="0">
      <selection activeCell="B1" sqref="B1:U548"/>
    </sheetView>
  </sheetViews>
  <sheetFormatPr defaultRowHeight="36" x14ac:dyDescent="0.55000000000000004"/>
  <cols>
    <col min="1" max="1" width="9.140625" hidden="1" customWidth="1"/>
    <col min="2" max="2" width="19.42578125" customWidth="1"/>
    <col min="3" max="3" width="165.28515625" customWidth="1"/>
    <col min="4" max="4" width="40.5703125" customWidth="1"/>
    <col min="5" max="5" width="41.28515625" customWidth="1"/>
    <col min="6" max="6" width="74.5703125" customWidth="1"/>
    <col min="7" max="7" width="39.140625" style="26" customWidth="1"/>
    <col min="8" max="8" width="39" style="26" customWidth="1"/>
    <col min="9" max="9" width="43.28515625" style="26" customWidth="1"/>
    <col min="10" max="10" width="42.28515625" style="26" customWidth="1"/>
    <col min="11" max="11" width="40.140625" style="26" customWidth="1"/>
    <col min="12" max="12" width="40.85546875" style="26" customWidth="1"/>
    <col min="13" max="13" width="43.7109375" style="26" customWidth="1"/>
    <col min="14" max="14" width="160.85546875" style="38" customWidth="1"/>
    <col min="15" max="15" width="53.140625" style="26" customWidth="1"/>
    <col min="16" max="16" width="44.140625" style="26" customWidth="1"/>
    <col min="17" max="17" width="47.28515625" style="26" customWidth="1"/>
    <col min="18" max="18" width="43.85546875" style="26" customWidth="1"/>
    <col min="19" max="19" width="56.5703125" style="26" customWidth="1"/>
    <col min="20" max="20" width="41.28515625" style="26" customWidth="1"/>
    <col min="21" max="21" width="40.42578125" style="26" customWidth="1"/>
    <col min="22" max="22" width="24.42578125" hidden="1" customWidth="1"/>
    <col min="23" max="44" width="9.140625" hidden="1" customWidth="1"/>
    <col min="45" max="94" width="9.140625" customWidth="1"/>
    <col min="95" max="95" width="12" customWidth="1"/>
    <col min="96" max="96" width="33.42578125" customWidth="1"/>
  </cols>
  <sheetData>
    <row r="1" spans="1:96" x14ac:dyDescent="0.55000000000000004">
      <c r="B1" s="192"/>
      <c r="C1" s="193"/>
      <c r="D1" s="194"/>
      <c r="E1" s="194"/>
      <c r="F1" s="194"/>
      <c r="G1" s="128"/>
      <c r="H1" s="128"/>
      <c r="I1" s="195"/>
      <c r="J1" s="195"/>
      <c r="K1" s="195"/>
      <c r="L1" s="128"/>
      <c r="M1" s="196"/>
      <c r="N1" s="197"/>
      <c r="O1" s="198"/>
      <c r="P1" s="198"/>
      <c r="Q1" s="198"/>
      <c r="R1" s="198"/>
      <c r="S1" s="120" t="s">
        <v>295</v>
      </c>
      <c r="T1" s="120"/>
      <c r="U1" s="120"/>
    </row>
    <row r="2" spans="1:96" ht="35.25" x14ac:dyDescent="0.5">
      <c r="B2" s="192"/>
      <c r="C2" s="193"/>
      <c r="D2" s="194"/>
      <c r="E2" s="194"/>
      <c r="F2" s="194"/>
      <c r="G2" s="128"/>
      <c r="H2" s="128"/>
      <c r="I2" s="195"/>
      <c r="J2" s="195"/>
      <c r="K2" s="195"/>
      <c r="L2" s="128"/>
      <c r="M2" s="196"/>
      <c r="N2" s="122" t="s">
        <v>569</v>
      </c>
      <c r="O2" s="122"/>
      <c r="P2" s="122"/>
      <c r="Q2" s="122"/>
      <c r="R2" s="122"/>
      <c r="S2" s="122"/>
      <c r="T2" s="122"/>
      <c r="U2" s="122"/>
    </row>
    <row r="3" spans="1:96" ht="115.5" customHeight="1" x14ac:dyDescent="0.5">
      <c r="B3" s="192"/>
      <c r="C3" s="193"/>
      <c r="D3" s="194"/>
      <c r="E3" s="194"/>
      <c r="F3" s="194"/>
      <c r="G3" s="128"/>
      <c r="H3" s="128"/>
      <c r="I3" s="195"/>
      <c r="J3" s="195"/>
      <c r="K3" s="195"/>
      <c r="L3" s="128"/>
      <c r="M3" s="196"/>
      <c r="N3" s="122"/>
      <c r="O3" s="122"/>
      <c r="P3" s="122"/>
      <c r="Q3" s="122"/>
      <c r="R3" s="122"/>
      <c r="S3" s="122"/>
      <c r="T3" s="122"/>
      <c r="U3" s="122"/>
    </row>
    <row r="4" spans="1:96" ht="15" x14ac:dyDescent="0.25">
      <c r="B4" s="199" t="s">
        <v>572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</row>
    <row r="5" spans="1:96" ht="15" x14ac:dyDescent="0.25"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</row>
    <row r="6" spans="1:96" ht="114.75" customHeight="1" x14ac:dyDescent="0.25"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</row>
    <row r="7" spans="1:96" x14ac:dyDescent="0.55000000000000004">
      <c r="B7" s="190"/>
      <c r="C7" s="121"/>
      <c r="D7" s="190"/>
      <c r="E7" s="190"/>
      <c r="F7" s="190"/>
      <c r="G7" s="200"/>
      <c r="H7" s="200"/>
      <c r="I7" s="201"/>
      <c r="J7" s="201"/>
      <c r="K7" s="119"/>
      <c r="L7" s="200"/>
      <c r="M7" s="200"/>
      <c r="N7" s="202"/>
      <c r="O7" s="203"/>
      <c r="P7" s="203"/>
      <c r="Q7" s="203"/>
      <c r="R7" s="203"/>
      <c r="S7" s="203"/>
      <c r="T7" s="203"/>
      <c r="U7" s="203"/>
    </row>
    <row r="8" spans="1:96" ht="35.25" x14ac:dyDescent="0.25">
      <c r="B8" s="204" t="s">
        <v>4</v>
      </c>
      <c r="C8" s="204" t="s">
        <v>296</v>
      </c>
      <c r="D8" s="204" t="s">
        <v>297</v>
      </c>
      <c r="E8" s="205" t="s">
        <v>298</v>
      </c>
      <c r="F8" s="205" t="s">
        <v>299</v>
      </c>
      <c r="G8" s="205" t="s">
        <v>300</v>
      </c>
      <c r="H8" s="205" t="s">
        <v>301</v>
      </c>
      <c r="I8" s="205" t="s">
        <v>302</v>
      </c>
      <c r="J8" s="205" t="s">
        <v>303</v>
      </c>
      <c r="K8" s="205" t="s">
        <v>304</v>
      </c>
      <c r="L8" s="206" t="s">
        <v>305</v>
      </c>
      <c r="M8" s="206" t="s">
        <v>306</v>
      </c>
      <c r="N8" s="204" t="s">
        <v>307</v>
      </c>
      <c r="O8" s="207" t="s">
        <v>308</v>
      </c>
      <c r="P8" s="207"/>
      <c r="Q8" s="207"/>
      <c r="R8" s="207"/>
      <c r="S8" s="207"/>
      <c r="T8" s="208" t="s">
        <v>309</v>
      </c>
      <c r="U8" s="208" t="s">
        <v>310</v>
      </c>
    </row>
    <row r="9" spans="1:96" ht="15" x14ac:dyDescent="0.25">
      <c r="B9" s="204"/>
      <c r="C9" s="204"/>
      <c r="D9" s="204"/>
      <c r="E9" s="205"/>
      <c r="F9" s="205"/>
      <c r="G9" s="205"/>
      <c r="H9" s="205"/>
      <c r="I9" s="205"/>
      <c r="J9" s="205"/>
      <c r="K9" s="205"/>
      <c r="L9" s="206"/>
      <c r="M9" s="206"/>
      <c r="N9" s="204"/>
      <c r="O9" s="208" t="s">
        <v>311</v>
      </c>
      <c r="P9" s="209" t="s">
        <v>314</v>
      </c>
      <c r="Q9" s="208" t="s">
        <v>312</v>
      </c>
      <c r="R9" s="210" t="s">
        <v>313</v>
      </c>
      <c r="S9" s="208" t="s">
        <v>418</v>
      </c>
      <c r="T9" s="208"/>
      <c r="U9" s="208"/>
    </row>
    <row r="10" spans="1:96" ht="409.5" customHeight="1" x14ac:dyDescent="0.25">
      <c r="B10" s="204"/>
      <c r="C10" s="204"/>
      <c r="D10" s="204"/>
      <c r="E10" s="205"/>
      <c r="F10" s="205"/>
      <c r="G10" s="205"/>
      <c r="H10" s="205"/>
      <c r="I10" s="205"/>
      <c r="J10" s="205"/>
      <c r="K10" s="205"/>
      <c r="L10" s="206"/>
      <c r="M10" s="206"/>
      <c r="N10" s="204"/>
      <c r="O10" s="208"/>
      <c r="P10" s="211"/>
      <c r="Q10" s="208"/>
      <c r="R10" s="210"/>
      <c r="S10" s="208"/>
      <c r="T10" s="208"/>
      <c r="U10" s="208"/>
    </row>
    <row r="11" spans="1:96" ht="35.25" x14ac:dyDescent="0.25">
      <c r="B11" s="204"/>
      <c r="C11" s="204"/>
      <c r="D11" s="204"/>
      <c r="E11" s="205"/>
      <c r="F11" s="205"/>
      <c r="G11" s="205"/>
      <c r="H11" s="205"/>
      <c r="I11" s="212" t="s">
        <v>32</v>
      </c>
      <c r="J11" s="212" t="s">
        <v>32</v>
      </c>
      <c r="K11" s="212" t="s">
        <v>315</v>
      </c>
      <c r="L11" s="206"/>
      <c r="M11" s="206"/>
      <c r="N11" s="204"/>
      <c r="O11" s="213" t="s">
        <v>30</v>
      </c>
      <c r="P11" s="213" t="s">
        <v>30</v>
      </c>
      <c r="Q11" s="213" t="s">
        <v>30</v>
      </c>
      <c r="R11" s="213" t="s">
        <v>30</v>
      </c>
      <c r="S11" s="213" t="s">
        <v>30</v>
      </c>
      <c r="T11" s="213" t="s">
        <v>316</v>
      </c>
      <c r="U11" s="213" t="s">
        <v>316</v>
      </c>
    </row>
    <row r="12" spans="1:96" ht="44.25" customHeight="1" x14ac:dyDescent="0.25">
      <c r="B12" s="212">
        <v>1</v>
      </c>
      <c r="C12" s="212">
        <v>2</v>
      </c>
      <c r="D12" s="212">
        <v>3</v>
      </c>
      <c r="E12" s="212">
        <v>4</v>
      </c>
      <c r="F12" s="212">
        <v>5</v>
      </c>
      <c r="G12" s="212">
        <v>6</v>
      </c>
      <c r="H12" s="212">
        <v>7</v>
      </c>
      <c r="I12" s="212">
        <v>8</v>
      </c>
      <c r="J12" s="212">
        <v>9</v>
      </c>
      <c r="K12" s="212">
        <v>10</v>
      </c>
      <c r="L12" s="212">
        <v>11</v>
      </c>
      <c r="M12" s="212">
        <v>12</v>
      </c>
      <c r="N12" s="214">
        <v>13</v>
      </c>
      <c r="O12" s="212">
        <v>14</v>
      </c>
      <c r="P12" s="212">
        <v>15</v>
      </c>
      <c r="Q12" s="212">
        <v>16</v>
      </c>
      <c r="R12" s="212">
        <v>17</v>
      </c>
      <c r="S12" s="212">
        <v>18</v>
      </c>
      <c r="T12" s="212">
        <v>19</v>
      </c>
      <c r="U12" s="212">
        <v>20</v>
      </c>
    </row>
    <row r="13" spans="1:96" ht="44.25" customHeight="1" x14ac:dyDescent="0.5">
      <c r="B13" s="215" t="s">
        <v>515</v>
      </c>
      <c r="C13" s="212"/>
      <c r="D13" s="216" t="s">
        <v>422</v>
      </c>
      <c r="E13" s="216" t="s">
        <v>422</v>
      </c>
      <c r="F13" s="216" t="s">
        <v>422</v>
      </c>
      <c r="G13" s="216" t="s">
        <v>422</v>
      </c>
      <c r="H13" s="216" t="s">
        <v>422</v>
      </c>
      <c r="I13" s="217">
        <f>I14+I196+I365</f>
        <v>1150582.05</v>
      </c>
      <c r="J13" s="217">
        <f>J14+J196+J365</f>
        <v>931303.48</v>
      </c>
      <c r="K13" s="218">
        <f>K14+K196+K365</f>
        <v>43248</v>
      </c>
      <c r="L13" s="216" t="s">
        <v>422</v>
      </c>
      <c r="M13" s="216" t="s">
        <v>422</v>
      </c>
      <c r="N13" s="219" t="s">
        <v>422</v>
      </c>
      <c r="O13" s="220">
        <f>O14+O196+O365</f>
        <v>4346442297.4100008</v>
      </c>
      <c r="P13" s="220">
        <f>P14+P196+P365</f>
        <v>0</v>
      </c>
      <c r="Q13" s="220">
        <f>Q14+Q196+Q365</f>
        <v>0</v>
      </c>
      <c r="R13" s="220">
        <f>R14+R196+R365</f>
        <v>194612393.64000002</v>
      </c>
      <c r="S13" s="220">
        <f>S14+S196+S365</f>
        <v>4151829903.7700005</v>
      </c>
      <c r="T13" s="221">
        <f>O13/I13</f>
        <v>3777.6030813360949</v>
      </c>
      <c r="U13" s="221">
        <f>MAX(U14:U511)</f>
        <v>40233.86</v>
      </c>
      <c r="V13" s="27">
        <f>O13-P13-Q13-R13-S13</f>
        <v>0</v>
      </c>
    </row>
    <row r="14" spans="1:96" ht="44.25" customHeight="1" x14ac:dyDescent="0.5">
      <c r="B14" s="215" t="s">
        <v>514</v>
      </c>
      <c r="C14" s="212"/>
      <c r="D14" s="216" t="s">
        <v>422</v>
      </c>
      <c r="E14" s="216" t="s">
        <v>422</v>
      </c>
      <c r="F14" s="216" t="s">
        <v>422</v>
      </c>
      <c r="G14" s="216" t="s">
        <v>422</v>
      </c>
      <c r="H14" s="216" t="s">
        <v>422</v>
      </c>
      <c r="I14" s="217">
        <f>I15+I53+I61+I76+I86+I88+I103+I108+I110+I112+I114+I117+I124+I128+I133+I138+I143+I149+I153+I161+I169+I171+I181+I187+I189+I193</f>
        <v>311612.78000000003</v>
      </c>
      <c r="J14" s="217">
        <f>J15+J53+J61+J76+J86+J88+J103+J108+J110+J112+J114+J117+J124+J128+J133+J138+J143+J149+J153+J161+J169+J171+J181+J187+J189+J193</f>
        <v>242904.73000000004</v>
      </c>
      <c r="K14" s="218">
        <f>K15+K53+K61+K76+K86+K88+K103+K108+K110+K112+K114+K117+K124+K128+K133+K138+K143+K149+K153+K161+K169+K171+K181+K187+K189+K193</f>
        <v>11701</v>
      </c>
      <c r="L14" s="216" t="s">
        <v>422</v>
      </c>
      <c r="M14" s="216" t="s">
        <v>422</v>
      </c>
      <c r="N14" s="219" t="s">
        <v>422</v>
      </c>
      <c r="O14" s="220">
        <f>O15+O53+O61+O76+O86+O88+O103+O108+O110+O112+O114+O117+O124+O128+O133+O138+O143+O149+O153+O161+O169+O171+O181+O187+O189+O193</f>
        <v>1380041285.8700001</v>
      </c>
      <c r="P14" s="220">
        <f>P15+P53+P61+P76+P86+P88+P103+P108+P110+P112+P114+P117+P124+P128+P133+P138+P143+P149+P153+P161+P169+P171+P181+P187+P189+P193</f>
        <v>0</v>
      </c>
      <c r="Q14" s="220">
        <f>Q15+Q53+Q61+Q76+Q86+Q88+Q103+Q108+Q110+Q112+Q114+Q117+Q124+Q128+Q133+Q138+Q143+Q149+Q153+Q161+Q169+Q171+Q181+Q187+Q189+Q193</f>
        <v>0</v>
      </c>
      <c r="R14" s="220">
        <f>R15+R53+R61+R76+R86+R88+R103+R108+R110+R112+R114+R117+R124+R128+R133+R138+R143+R149+R153+R161+R169+R171+R181+R187+R189+R193</f>
        <v>194612393.64000002</v>
      </c>
      <c r="S14" s="220">
        <f>S15+S53+S61+S76+S86+S88+S103+S108+S110+S112+S114+S117+S124+S128+S133+S138+S143+S149+S153+S161+S169+S171+S181+S187+S189+S193</f>
        <v>1185428892.2300003</v>
      </c>
      <c r="T14" s="221">
        <f>O14/I14</f>
        <v>4428.7056707687025</v>
      </c>
      <c r="U14" s="221">
        <f>MAX(U15:U193)</f>
        <v>40233.86</v>
      </c>
      <c r="V14" s="27">
        <f t="shared" ref="V14:V77" si="0">O14-P14-Q14-R14-S14</f>
        <v>0</v>
      </c>
    </row>
    <row r="15" spans="1:96" ht="35.25" x14ac:dyDescent="0.5">
      <c r="B15" s="215" t="s">
        <v>413</v>
      </c>
      <c r="C15" s="222"/>
      <c r="D15" s="216" t="s">
        <v>422</v>
      </c>
      <c r="E15" s="216" t="s">
        <v>422</v>
      </c>
      <c r="F15" s="216" t="s">
        <v>422</v>
      </c>
      <c r="G15" s="216" t="s">
        <v>422</v>
      </c>
      <c r="H15" s="216" t="s">
        <v>422</v>
      </c>
      <c r="I15" s="217">
        <f>SUM(I16:I52)</f>
        <v>97076.250000000015</v>
      </c>
      <c r="J15" s="217">
        <f>SUM(J16:J52)</f>
        <v>78674.099999999991</v>
      </c>
      <c r="K15" s="218">
        <f>SUM(K16:K52)</f>
        <v>3537</v>
      </c>
      <c r="L15" s="216" t="s">
        <v>422</v>
      </c>
      <c r="M15" s="216" t="s">
        <v>422</v>
      </c>
      <c r="N15" s="219" t="s">
        <v>422</v>
      </c>
      <c r="O15" s="220">
        <f>SUM(O16:O52)</f>
        <v>363865151.03000009</v>
      </c>
      <c r="P15" s="220">
        <f t="shared" ref="P15:S15" si="1">SUM(P16:P52)</f>
        <v>0</v>
      </c>
      <c r="Q15" s="220">
        <f t="shared" si="1"/>
        <v>0</v>
      </c>
      <c r="R15" s="220">
        <f t="shared" si="1"/>
        <v>149489967.5</v>
      </c>
      <c r="S15" s="220">
        <f t="shared" si="1"/>
        <v>214375183.53000003</v>
      </c>
      <c r="T15" s="221">
        <f>O15/I15</f>
        <v>3748.2406976989741</v>
      </c>
      <c r="U15" s="221">
        <f>MAX(U16:U52)</f>
        <v>18411.404128486058</v>
      </c>
      <c r="V15" s="27">
        <f t="shared" si="0"/>
        <v>0</v>
      </c>
    </row>
    <row r="16" spans="1:96" ht="35.25" x14ac:dyDescent="0.5">
      <c r="A16">
        <v>1</v>
      </c>
      <c r="B16" s="223">
        <f>SUBTOTAL(9,$A16:A$16)</f>
        <v>1</v>
      </c>
      <c r="C16" s="224" t="s">
        <v>34</v>
      </c>
      <c r="D16" s="216"/>
      <c r="E16" s="216">
        <v>1965</v>
      </c>
      <c r="F16" s="216" t="s">
        <v>419</v>
      </c>
      <c r="G16" s="216">
        <v>5</v>
      </c>
      <c r="H16" s="216">
        <v>2</v>
      </c>
      <c r="I16" s="217">
        <v>1924.5</v>
      </c>
      <c r="J16" s="217">
        <v>1588.9</v>
      </c>
      <c r="K16" s="218">
        <v>80</v>
      </c>
      <c r="L16" s="216" t="s">
        <v>417</v>
      </c>
      <c r="M16" s="216" t="s">
        <v>423</v>
      </c>
      <c r="N16" s="219" t="s">
        <v>549</v>
      </c>
      <c r="O16" s="221">
        <v>7508441.6000000006</v>
      </c>
      <c r="P16" s="221">
        <v>0</v>
      </c>
      <c r="Q16" s="221">
        <v>0</v>
      </c>
      <c r="R16" s="221">
        <v>0</v>
      </c>
      <c r="S16" s="221">
        <f>O16-P16-Q16-R16</f>
        <v>7508441.6000000006</v>
      </c>
      <c r="T16" s="221">
        <f t="shared" ref="T16:T376" si="2">O16/I16</f>
        <v>3901.5025201351004</v>
      </c>
      <c r="U16" s="221">
        <v>3975.1</v>
      </c>
      <c r="V16" s="27">
        <f t="shared" si="0"/>
        <v>0</v>
      </c>
      <c r="CR16" s="1"/>
    </row>
    <row r="17" spans="1:96" ht="35.25" x14ac:dyDescent="0.5">
      <c r="A17">
        <v>1</v>
      </c>
      <c r="B17" s="223">
        <f>SUBTOTAL(9,$A$16:A17)</f>
        <v>2</v>
      </c>
      <c r="C17" s="224" t="s">
        <v>35</v>
      </c>
      <c r="D17" s="216"/>
      <c r="E17" s="216">
        <v>1957</v>
      </c>
      <c r="F17" s="216" t="s">
        <v>419</v>
      </c>
      <c r="G17" s="216">
        <v>3</v>
      </c>
      <c r="H17" s="216">
        <v>2</v>
      </c>
      <c r="I17" s="217">
        <v>1060</v>
      </c>
      <c r="J17" s="217">
        <v>945.3</v>
      </c>
      <c r="K17" s="218">
        <v>39</v>
      </c>
      <c r="L17" s="216" t="s">
        <v>417</v>
      </c>
      <c r="M17" s="216" t="s">
        <v>424</v>
      </c>
      <c r="N17" s="219" t="s">
        <v>425</v>
      </c>
      <c r="O17" s="221">
        <v>774166.4800000001</v>
      </c>
      <c r="P17" s="221">
        <v>0</v>
      </c>
      <c r="Q17" s="221">
        <v>0</v>
      </c>
      <c r="R17" s="221">
        <v>0</v>
      </c>
      <c r="S17" s="221">
        <f t="shared" ref="S17:S376" si="3">O17-P17-Q17-R17</f>
        <v>774166.4800000001</v>
      </c>
      <c r="T17" s="221">
        <f t="shared" si="2"/>
        <v>730.34573584905672</v>
      </c>
      <c r="U17" s="221">
        <v>730.34573584905661</v>
      </c>
      <c r="V17" s="27">
        <f t="shared" si="0"/>
        <v>0</v>
      </c>
      <c r="CR17" s="1"/>
    </row>
    <row r="18" spans="1:96" ht="35.25" x14ac:dyDescent="0.5">
      <c r="A18">
        <v>1</v>
      </c>
      <c r="B18" s="223">
        <f>SUBTOTAL(9,$A$16:A18)</f>
        <v>3</v>
      </c>
      <c r="C18" s="225" t="s">
        <v>36</v>
      </c>
      <c r="D18" s="216"/>
      <c r="E18" s="216">
        <v>1959</v>
      </c>
      <c r="F18" s="216" t="s">
        <v>419</v>
      </c>
      <c r="G18" s="216">
        <v>2</v>
      </c>
      <c r="H18" s="216">
        <v>1</v>
      </c>
      <c r="I18" s="217">
        <v>301</v>
      </c>
      <c r="J18" s="217">
        <v>274.5</v>
      </c>
      <c r="K18" s="218">
        <v>21</v>
      </c>
      <c r="L18" s="216" t="s">
        <v>417</v>
      </c>
      <c r="M18" s="216" t="s">
        <v>423</v>
      </c>
      <c r="N18" s="219" t="s">
        <v>550</v>
      </c>
      <c r="O18" s="221">
        <v>4668041.8699999992</v>
      </c>
      <c r="P18" s="221">
        <v>0</v>
      </c>
      <c r="Q18" s="221">
        <v>0</v>
      </c>
      <c r="R18" s="221">
        <v>0</v>
      </c>
      <c r="S18" s="221">
        <f t="shared" si="3"/>
        <v>4668041.8699999992</v>
      </c>
      <c r="T18" s="221">
        <f t="shared" si="2"/>
        <v>15508.444750830562</v>
      </c>
      <c r="U18" s="221">
        <v>15509.18</v>
      </c>
      <c r="V18" s="27">
        <f t="shared" si="0"/>
        <v>0</v>
      </c>
      <c r="CR18" s="1"/>
    </row>
    <row r="19" spans="1:96" ht="35.25" x14ac:dyDescent="0.5">
      <c r="A19">
        <v>1</v>
      </c>
      <c r="B19" s="223">
        <f>SUBTOTAL(9,$A$16:A19)</f>
        <v>4</v>
      </c>
      <c r="C19" s="225" t="s">
        <v>37</v>
      </c>
      <c r="D19" s="216"/>
      <c r="E19" s="216">
        <v>1959</v>
      </c>
      <c r="F19" s="216" t="s">
        <v>419</v>
      </c>
      <c r="G19" s="216">
        <v>2</v>
      </c>
      <c r="H19" s="216">
        <v>1</v>
      </c>
      <c r="I19" s="217">
        <v>269.5</v>
      </c>
      <c r="J19" s="217">
        <v>242</v>
      </c>
      <c r="K19" s="218">
        <v>21</v>
      </c>
      <c r="L19" s="216" t="s">
        <v>417</v>
      </c>
      <c r="M19" s="216" t="s">
        <v>423</v>
      </c>
      <c r="N19" s="219" t="s">
        <v>440</v>
      </c>
      <c r="O19" s="221">
        <v>4596225.9799999995</v>
      </c>
      <c r="P19" s="221">
        <v>0</v>
      </c>
      <c r="Q19" s="221">
        <v>0</v>
      </c>
      <c r="R19" s="221">
        <v>0</v>
      </c>
      <c r="S19" s="221">
        <f t="shared" si="3"/>
        <v>4596225.9799999995</v>
      </c>
      <c r="T19" s="221">
        <f t="shared" si="2"/>
        <v>17054.641855287569</v>
      </c>
      <c r="U19" s="221">
        <v>17055.45</v>
      </c>
      <c r="V19" s="27">
        <f t="shared" si="0"/>
        <v>0</v>
      </c>
      <c r="CR19" s="1"/>
    </row>
    <row r="20" spans="1:96" ht="35.25" x14ac:dyDescent="0.5">
      <c r="A20">
        <v>1</v>
      </c>
      <c r="B20" s="223">
        <f>SUBTOTAL(9,$A$16:A20)</f>
        <v>5</v>
      </c>
      <c r="C20" s="225" t="s">
        <v>39</v>
      </c>
      <c r="D20" s="216"/>
      <c r="E20" s="216">
        <v>1962</v>
      </c>
      <c r="F20" s="216" t="s">
        <v>419</v>
      </c>
      <c r="G20" s="216">
        <v>2</v>
      </c>
      <c r="H20" s="216">
        <v>2</v>
      </c>
      <c r="I20" s="217">
        <v>651.79999999999995</v>
      </c>
      <c r="J20" s="217">
        <v>638.6</v>
      </c>
      <c r="K20" s="218">
        <v>42</v>
      </c>
      <c r="L20" s="216" t="s">
        <v>417</v>
      </c>
      <c r="M20" s="216" t="s">
        <v>424</v>
      </c>
      <c r="N20" s="219" t="s">
        <v>425</v>
      </c>
      <c r="O20" s="221">
        <v>5617700</v>
      </c>
      <c r="P20" s="221">
        <v>0</v>
      </c>
      <c r="Q20" s="221">
        <v>0</v>
      </c>
      <c r="R20" s="221">
        <v>0</v>
      </c>
      <c r="S20" s="221">
        <f t="shared" si="3"/>
        <v>5617700</v>
      </c>
      <c r="T20" s="221">
        <f t="shared" si="2"/>
        <v>8618.7480822338148</v>
      </c>
      <c r="U20" s="221">
        <v>11707.08</v>
      </c>
      <c r="V20" s="27">
        <f t="shared" si="0"/>
        <v>0</v>
      </c>
      <c r="CR20" s="1"/>
    </row>
    <row r="21" spans="1:96" ht="35.25" x14ac:dyDescent="0.5">
      <c r="A21">
        <v>1</v>
      </c>
      <c r="B21" s="223">
        <f>SUBTOTAL(9,$A$16:A21)</f>
        <v>6</v>
      </c>
      <c r="C21" s="225" t="s">
        <v>40</v>
      </c>
      <c r="D21" s="216"/>
      <c r="E21" s="216">
        <v>1964</v>
      </c>
      <c r="F21" s="216" t="s">
        <v>419</v>
      </c>
      <c r="G21" s="216">
        <v>5</v>
      </c>
      <c r="H21" s="216">
        <v>2</v>
      </c>
      <c r="I21" s="217">
        <v>1572</v>
      </c>
      <c r="J21" s="217">
        <v>1291.4000000000001</v>
      </c>
      <c r="K21" s="218">
        <v>86</v>
      </c>
      <c r="L21" s="216" t="s">
        <v>417</v>
      </c>
      <c r="M21" s="216" t="s">
        <v>423</v>
      </c>
      <c r="N21" s="219" t="s">
        <v>551</v>
      </c>
      <c r="O21" s="221">
        <v>7113000.9800000004</v>
      </c>
      <c r="P21" s="221">
        <v>0</v>
      </c>
      <c r="Q21" s="221">
        <v>0</v>
      </c>
      <c r="R21" s="221">
        <v>0</v>
      </c>
      <c r="S21" s="221">
        <f t="shared" si="3"/>
        <v>7113000.9800000004</v>
      </c>
      <c r="T21" s="221">
        <f t="shared" si="2"/>
        <v>4524.8097837150126</v>
      </c>
      <c r="U21" s="221">
        <v>4525.03</v>
      </c>
      <c r="V21" s="27">
        <f t="shared" si="0"/>
        <v>0</v>
      </c>
      <c r="CR21" s="1"/>
    </row>
    <row r="22" spans="1:96" ht="35.25" x14ac:dyDescent="0.5">
      <c r="A22">
        <v>1</v>
      </c>
      <c r="B22" s="223">
        <f>SUBTOTAL(9,$A$16:A22)</f>
        <v>7</v>
      </c>
      <c r="C22" s="225" t="s">
        <v>41</v>
      </c>
      <c r="D22" s="216"/>
      <c r="E22" s="216">
        <v>1962</v>
      </c>
      <c r="F22" s="216" t="s">
        <v>419</v>
      </c>
      <c r="G22" s="216">
        <v>5</v>
      </c>
      <c r="H22" s="216">
        <v>2</v>
      </c>
      <c r="I22" s="217">
        <v>1864.3</v>
      </c>
      <c r="J22" s="217">
        <v>1611.9</v>
      </c>
      <c r="K22" s="218">
        <v>91</v>
      </c>
      <c r="L22" s="216" t="s">
        <v>417</v>
      </c>
      <c r="M22" s="216" t="s">
        <v>423</v>
      </c>
      <c r="N22" s="219" t="s">
        <v>552</v>
      </c>
      <c r="O22" s="221">
        <v>6487920.0800000001</v>
      </c>
      <c r="P22" s="221">
        <v>0</v>
      </c>
      <c r="Q22" s="221">
        <v>0</v>
      </c>
      <c r="R22" s="221">
        <v>0</v>
      </c>
      <c r="S22" s="221">
        <f t="shared" si="3"/>
        <v>6487920.0800000001</v>
      </c>
      <c r="T22" s="221">
        <f t="shared" si="2"/>
        <v>3480.0837204312611</v>
      </c>
      <c r="U22" s="221">
        <v>5244.66</v>
      </c>
      <c r="V22" s="27">
        <f t="shared" si="0"/>
        <v>0</v>
      </c>
      <c r="CR22" s="1"/>
    </row>
    <row r="23" spans="1:96" ht="35.25" x14ac:dyDescent="0.5">
      <c r="A23">
        <v>1</v>
      </c>
      <c r="B23" s="223">
        <f>SUBTOTAL(9,$A$16:A23)</f>
        <v>8</v>
      </c>
      <c r="C23" s="225" t="s">
        <v>42</v>
      </c>
      <c r="D23" s="216"/>
      <c r="E23" s="216">
        <v>1958</v>
      </c>
      <c r="F23" s="216" t="s">
        <v>419</v>
      </c>
      <c r="G23" s="216">
        <v>3</v>
      </c>
      <c r="H23" s="216">
        <v>2</v>
      </c>
      <c r="I23" s="217">
        <v>1958</v>
      </c>
      <c r="J23" s="217">
        <v>1093.5999999999999</v>
      </c>
      <c r="K23" s="218">
        <v>56</v>
      </c>
      <c r="L23" s="216" t="s">
        <v>417</v>
      </c>
      <c r="M23" s="216" t="s">
        <v>423</v>
      </c>
      <c r="N23" s="219" t="s">
        <v>585</v>
      </c>
      <c r="O23" s="221">
        <v>5718663.46</v>
      </c>
      <c r="P23" s="221">
        <v>0</v>
      </c>
      <c r="Q23" s="221">
        <v>0</v>
      </c>
      <c r="R23" s="221">
        <v>0</v>
      </c>
      <c r="S23" s="221">
        <f t="shared" si="3"/>
        <v>5718663.46</v>
      </c>
      <c r="T23" s="221">
        <f t="shared" si="2"/>
        <v>2920.6657099080694</v>
      </c>
      <c r="U23" s="221">
        <v>4732.1000000000004</v>
      </c>
      <c r="V23" s="27">
        <f t="shared" si="0"/>
        <v>0</v>
      </c>
      <c r="CR23" s="1"/>
    </row>
    <row r="24" spans="1:96" ht="35.25" x14ac:dyDescent="0.5">
      <c r="A24">
        <v>1</v>
      </c>
      <c r="B24" s="223">
        <f>SUBTOTAL(9,$A$16:A24)</f>
        <v>9</v>
      </c>
      <c r="C24" s="225" t="s">
        <v>43</v>
      </c>
      <c r="D24" s="216"/>
      <c r="E24" s="216">
        <v>1951</v>
      </c>
      <c r="F24" s="216" t="s">
        <v>419</v>
      </c>
      <c r="G24" s="216">
        <v>2</v>
      </c>
      <c r="H24" s="216">
        <v>2</v>
      </c>
      <c r="I24" s="217">
        <v>990</v>
      </c>
      <c r="J24" s="217">
        <v>849.9</v>
      </c>
      <c r="K24" s="218">
        <v>39</v>
      </c>
      <c r="L24" s="216" t="s">
        <v>417</v>
      </c>
      <c r="M24" s="216" t="s">
        <v>424</v>
      </c>
      <c r="N24" s="219" t="s">
        <v>425</v>
      </c>
      <c r="O24" s="221">
        <v>8965837.4900000002</v>
      </c>
      <c r="P24" s="221">
        <v>0</v>
      </c>
      <c r="Q24" s="221">
        <v>0</v>
      </c>
      <c r="R24" s="221">
        <v>0</v>
      </c>
      <c r="S24" s="221">
        <f t="shared" si="3"/>
        <v>8965837.4900000002</v>
      </c>
      <c r="T24" s="221">
        <f t="shared" si="2"/>
        <v>9056.4015050505059</v>
      </c>
      <c r="U24" s="221">
        <v>9076.4</v>
      </c>
      <c r="V24" s="27">
        <f t="shared" si="0"/>
        <v>0</v>
      </c>
      <c r="CR24" s="1"/>
    </row>
    <row r="25" spans="1:96" ht="35.25" x14ac:dyDescent="0.5">
      <c r="A25">
        <v>1</v>
      </c>
      <c r="B25" s="223">
        <f>SUBTOTAL(9,$A$16:A25)</f>
        <v>10</v>
      </c>
      <c r="C25" s="225" t="s">
        <v>44</v>
      </c>
      <c r="D25" s="216"/>
      <c r="E25" s="216">
        <v>2004</v>
      </c>
      <c r="F25" s="216" t="s">
        <v>419</v>
      </c>
      <c r="G25" s="216">
        <v>9</v>
      </c>
      <c r="H25" s="216">
        <v>1</v>
      </c>
      <c r="I25" s="217">
        <v>2556.1</v>
      </c>
      <c r="J25" s="217">
        <v>1725.9</v>
      </c>
      <c r="K25" s="218">
        <v>87</v>
      </c>
      <c r="L25" s="216" t="s">
        <v>417</v>
      </c>
      <c r="M25" s="216" t="s">
        <v>423</v>
      </c>
      <c r="N25" s="219" t="s">
        <v>585</v>
      </c>
      <c r="O25" s="221">
        <v>4774194.78</v>
      </c>
      <c r="P25" s="221">
        <v>0</v>
      </c>
      <c r="Q25" s="221">
        <v>0</v>
      </c>
      <c r="R25" s="221">
        <v>0</v>
      </c>
      <c r="S25" s="221">
        <f t="shared" si="3"/>
        <v>4774194.78</v>
      </c>
      <c r="T25" s="221">
        <f t="shared" si="2"/>
        <v>1867.7652595751342</v>
      </c>
      <c r="U25" s="221">
        <v>3177.55</v>
      </c>
      <c r="V25" s="27">
        <f t="shared" si="0"/>
        <v>0</v>
      </c>
      <c r="CR25" s="1"/>
    </row>
    <row r="26" spans="1:96" ht="35.25" x14ac:dyDescent="0.5">
      <c r="A26">
        <v>1</v>
      </c>
      <c r="B26" s="223">
        <f>SUBTOTAL(9,$A$16:A26)</f>
        <v>11</v>
      </c>
      <c r="C26" s="225" t="s">
        <v>45</v>
      </c>
      <c r="D26" s="216"/>
      <c r="E26" s="216">
        <v>1987</v>
      </c>
      <c r="F26" s="216" t="s">
        <v>420</v>
      </c>
      <c r="G26" s="216">
        <v>9</v>
      </c>
      <c r="H26" s="216">
        <v>2</v>
      </c>
      <c r="I26" s="217">
        <v>5051.2</v>
      </c>
      <c r="J26" s="217">
        <v>3905.8</v>
      </c>
      <c r="K26" s="218">
        <v>179</v>
      </c>
      <c r="L26" s="216" t="s">
        <v>417</v>
      </c>
      <c r="M26" s="216" t="s">
        <v>423</v>
      </c>
      <c r="N26" s="219" t="s">
        <v>553</v>
      </c>
      <c r="O26" s="221">
        <v>10961010.770000001</v>
      </c>
      <c r="P26" s="221">
        <v>0</v>
      </c>
      <c r="Q26" s="221">
        <v>0</v>
      </c>
      <c r="R26" s="221">
        <v>0</v>
      </c>
      <c r="S26" s="221">
        <f t="shared" si="3"/>
        <v>10961010.770000001</v>
      </c>
      <c r="T26" s="221">
        <f t="shared" si="2"/>
        <v>2169.9815429996838</v>
      </c>
      <c r="U26" s="221">
        <v>7105.86</v>
      </c>
      <c r="V26" s="27">
        <f t="shared" si="0"/>
        <v>0</v>
      </c>
      <c r="CR26" s="1"/>
    </row>
    <row r="27" spans="1:96" ht="35.25" x14ac:dyDescent="0.5">
      <c r="A27">
        <v>1</v>
      </c>
      <c r="B27" s="223">
        <f>SUBTOTAL(9,$A$16:A27)</f>
        <v>12</v>
      </c>
      <c r="C27" s="225" t="s">
        <v>46</v>
      </c>
      <c r="D27" s="216"/>
      <c r="E27" s="216">
        <v>1966</v>
      </c>
      <c r="F27" s="216" t="s">
        <v>419</v>
      </c>
      <c r="G27" s="216">
        <v>2</v>
      </c>
      <c r="H27" s="216">
        <v>2</v>
      </c>
      <c r="I27" s="217">
        <v>673.9</v>
      </c>
      <c r="J27" s="217">
        <v>426.7</v>
      </c>
      <c r="K27" s="218">
        <v>19</v>
      </c>
      <c r="L27" s="216" t="s">
        <v>417</v>
      </c>
      <c r="M27" s="216" t="s">
        <v>423</v>
      </c>
      <c r="N27" s="219" t="s">
        <v>554</v>
      </c>
      <c r="O27" s="221">
        <v>5485890</v>
      </c>
      <c r="P27" s="221">
        <v>0</v>
      </c>
      <c r="Q27" s="221">
        <v>0</v>
      </c>
      <c r="R27" s="221">
        <v>0</v>
      </c>
      <c r="S27" s="221">
        <f t="shared" si="3"/>
        <v>5485890</v>
      </c>
      <c r="T27" s="221">
        <f t="shared" si="2"/>
        <v>8140.5104614928032</v>
      </c>
      <c r="U27" s="221">
        <v>9595.9</v>
      </c>
      <c r="V27" s="27">
        <f t="shared" si="0"/>
        <v>0</v>
      </c>
      <c r="CR27" s="1"/>
    </row>
    <row r="28" spans="1:96" ht="35.25" x14ac:dyDescent="0.5">
      <c r="A28">
        <v>1</v>
      </c>
      <c r="B28" s="223">
        <f>SUBTOTAL(9,$A$16:A28)</f>
        <v>13</v>
      </c>
      <c r="C28" s="225" t="s">
        <v>47</v>
      </c>
      <c r="D28" s="216"/>
      <c r="E28" s="216">
        <v>1968</v>
      </c>
      <c r="F28" s="216" t="s">
        <v>419</v>
      </c>
      <c r="G28" s="216">
        <v>5</v>
      </c>
      <c r="H28" s="216">
        <v>2</v>
      </c>
      <c r="I28" s="217">
        <v>1920</v>
      </c>
      <c r="J28" s="217">
        <v>1745.2</v>
      </c>
      <c r="K28" s="218">
        <v>104</v>
      </c>
      <c r="L28" s="216" t="s">
        <v>417</v>
      </c>
      <c r="M28" s="216" t="s">
        <v>423</v>
      </c>
      <c r="N28" s="219" t="s">
        <v>554</v>
      </c>
      <c r="O28" s="221">
        <v>8940311.5899999999</v>
      </c>
      <c r="P28" s="221">
        <v>0</v>
      </c>
      <c r="Q28" s="221">
        <v>0</v>
      </c>
      <c r="R28" s="221">
        <v>0</v>
      </c>
      <c r="S28" s="221">
        <f t="shared" si="3"/>
        <v>8940311.5899999999</v>
      </c>
      <c r="T28" s="221">
        <f t="shared" si="2"/>
        <v>4656.4122864583333</v>
      </c>
      <c r="U28" s="221">
        <v>4744.25</v>
      </c>
      <c r="V28" s="27">
        <f t="shared" si="0"/>
        <v>0</v>
      </c>
      <c r="CR28" s="1"/>
    </row>
    <row r="29" spans="1:96" ht="35.25" x14ac:dyDescent="0.5">
      <c r="A29">
        <v>1</v>
      </c>
      <c r="B29" s="223">
        <f>SUBTOTAL(9,$A$16:A29)</f>
        <v>14</v>
      </c>
      <c r="C29" s="225" t="s">
        <v>48</v>
      </c>
      <c r="D29" s="216"/>
      <c r="E29" s="216">
        <v>1961</v>
      </c>
      <c r="F29" s="216" t="s">
        <v>419</v>
      </c>
      <c r="G29" s="216">
        <v>4</v>
      </c>
      <c r="H29" s="216">
        <v>4</v>
      </c>
      <c r="I29" s="217">
        <v>2830.2</v>
      </c>
      <c r="J29" s="217">
        <v>2511.6</v>
      </c>
      <c r="K29" s="218">
        <v>132</v>
      </c>
      <c r="L29" s="216" t="s">
        <v>417</v>
      </c>
      <c r="M29" s="216" t="s">
        <v>423</v>
      </c>
      <c r="N29" s="219" t="s">
        <v>449</v>
      </c>
      <c r="O29" s="221">
        <v>14344098.030000001</v>
      </c>
      <c r="P29" s="221">
        <v>0</v>
      </c>
      <c r="Q29" s="221">
        <v>0</v>
      </c>
      <c r="R29" s="221">
        <v>0</v>
      </c>
      <c r="S29" s="221">
        <f t="shared" si="3"/>
        <v>14344098.030000001</v>
      </c>
      <c r="T29" s="221">
        <f t="shared" si="2"/>
        <v>5068.2276976892099</v>
      </c>
      <c r="U29" s="221">
        <v>5163.83</v>
      </c>
      <c r="V29" s="27">
        <f t="shared" si="0"/>
        <v>0</v>
      </c>
      <c r="CR29" s="1"/>
    </row>
    <row r="30" spans="1:96" ht="35.25" x14ac:dyDescent="0.5">
      <c r="A30">
        <v>1</v>
      </c>
      <c r="B30" s="223">
        <f>SUBTOTAL(9,$A$16:A30)</f>
        <v>15</v>
      </c>
      <c r="C30" s="225" t="s">
        <v>49</v>
      </c>
      <c r="D30" s="216"/>
      <c r="E30" s="216">
        <v>1961</v>
      </c>
      <c r="F30" s="216" t="s">
        <v>419</v>
      </c>
      <c r="G30" s="216">
        <v>3</v>
      </c>
      <c r="H30" s="216">
        <v>2</v>
      </c>
      <c r="I30" s="217">
        <v>1037.8</v>
      </c>
      <c r="J30" s="217">
        <v>966.9</v>
      </c>
      <c r="K30" s="218">
        <v>57</v>
      </c>
      <c r="L30" s="216" t="s">
        <v>417</v>
      </c>
      <c r="M30" s="216" t="s">
        <v>423</v>
      </c>
      <c r="N30" s="219" t="s">
        <v>555</v>
      </c>
      <c r="O30" s="221">
        <v>11157115.149999999</v>
      </c>
      <c r="P30" s="221">
        <v>0</v>
      </c>
      <c r="Q30" s="221">
        <v>0</v>
      </c>
      <c r="R30" s="221">
        <v>0</v>
      </c>
      <c r="S30" s="221">
        <f t="shared" si="3"/>
        <v>11157115.149999999</v>
      </c>
      <c r="T30" s="221">
        <f t="shared" si="2"/>
        <v>10750.737280786278</v>
      </c>
      <c r="U30" s="221">
        <v>10847.66</v>
      </c>
      <c r="V30" s="27">
        <f t="shared" si="0"/>
        <v>0</v>
      </c>
      <c r="CR30" s="1"/>
    </row>
    <row r="31" spans="1:96" ht="35.25" x14ac:dyDescent="0.5">
      <c r="A31">
        <v>1</v>
      </c>
      <c r="B31" s="223">
        <f>SUBTOTAL(9,$A$16:A31)</f>
        <v>16</v>
      </c>
      <c r="C31" s="225" t="s">
        <v>50</v>
      </c>
      <c r="D31" s="216"/>
      <c r="E31" s="216">
        <v>1999</v>
      </c>
      <c r="F31" s="216" t="s">
        <v>420</v>
      </c>
      <c r="G31" s="216">
        <v>10</v>
      </c>
      <c r="H31" s="216">
        <v>3</v>
      </c>
      <c r="I31" s="217">
        <v>7576.1</v>
      </c>
      <c r="J31" s="217">
        <v>6473.8</v>
      </c>
      <c r="K31" s="218">
        <v>302</v>
      </c>
      <c r="L31" s="216" t="s">
        <v>417</v>
      </c>
      <c r="M31" s="216" t="s">
        <v>426</v>
      </c>
      <c r="N31" s="219" t="s">
        <v>556</v>
      </c>
      <c r="O31" s="221">
        <v>11436644.6</v>
      </c>
      <c r="P31" s="221">
        <v>0</v>
      </c>
      <c r="Q31" s="221">
        <v>0</v>
      </c>
      <c r="R31" s="221">
        <v>0</v>
      </c>
      <c r="S31" s="221">
        <f t="shared" si="3"/>
        <v>11436644.6</v>
      </c>
      <c r="T31" s="221">
        <f t="shared" si="2"/>
        <v>1509.568854687768</v>
      </c>
      <c r="U31" s="221">
        <v>1648.58</v>
      </c>
      <c r="V31" s="27">
        <f t="shared" si="0"/>
        <v>0</v>
      </c>
      <c r="CR31" s="1"/>
    </row>
    <row r="32" spans="1:96" ht="35.25" x14ac:dyDescent="0.5">
      <c r="A32">
        <v>1</v>
      </c>
      <c r="B32" s="223">
        <f>SUBTOTAL(9,$A$16:A32)</f>
        <v>17</v>
      </c>
      <c r="C32" s="225" t="s">
        <v>51</v>
      </c>
      <c r="D32" s="216"/>
      <c r="E32" s="216">
        <v>1976</v>
      </c>
      <c r="F32" s="216" t="s">
        <v>420</v>
      </c>
      <c r="G32" s="216">
        <v>5</v>
      </c>
      <c r="H32" s="216">
        <v>6</v>
      </c>
      <c r="I32" s="217">
        <v>6051.8</v>
      </c>
      <c r="J32" s="217">
        <v>4558.7</v>
      </c>
      <c r="K32" s="218">
        <v>189</v>
      </c>
      <c r="L32" s="216" t="s">
        <v>417</v>
      </c>
      <c r="M32" s="216" t="s">
        <v>423</v>
      </c>
      <c r="N32" s="219" t="s">
        <v>557</v>
      </c>
      <c r="O32" s="221">
        <v>16915996.48</v>
      </c>
      <c r="P32" s="221">
        <v>0</v>
      </c>
      <c r="Q32" s="221">
        <v>0</v>
      </c>
      <c r="R32" s="221">
        <v>0</v>
      </c>
      <c r="S32" s="221">
        <f t="shared" si="3"/>
        <v>16915996.48</v>
      </c>
      <c r="T32" s="221">
        <f t="shared" si="2"/>
        <v>2795.2008460292805</v>
      </c>
      <c r="U32" s="221">
        <v>2795.34</v>
      </c>
      <c r="V32" s="27">
        <f t="shared" si="0"/>
        <v>0</v>
      </c>
      <c r="CR32" s="1"/>
    </row>
    <row r="33" spans="1:96" ht="35.25" x14ac:dyDescent="0.5">
      <c r="A33">
        <v>1</v>
      </c>
      <c r="B33" s="223">
        <f>SUBTOTAL(9,$A$16:A33)</f>
        <v>18</v>
      </c>
      <c r="C33" s="225" t="s">
        <v>52</v>
      </c>
      <c r="D33" s="216"/>
      <c r="E33" s="216">
        <v>1980</v>
      </c>
      <c r="F33" s="216" t="s">
        <v>419</v>
      </c>
      <c r="G33" s="216">
        <v>10</v>
      </c>
      <c r="H33" s="216">
        <v>5</v>
      </c>
      <c r="I33" s="217">
        <v>14994</v>
      </c>
      <c r="J33" s="217">
        <v>11517.4</v>
      </c>
      <c r="K33" s="218">
        <v>528</v>
      </c>
      <c r="L33" s="216" t="s">
        <v>417</v>
      </c>
      <c r="M33" s="216" t="s">
        <v>423</v>
      </c>
      <c r="N33" s="219" t="s">
        <v>558</v>
      </c>
      <c r="O33" s="221">
        <v>10535986.15</v>
      </c>
      <c r="P33" s="221">
        <v>0</v>
      </c>
      <c r="Q33" s="221">
        <v>0</v>
      </c>
      <c r="R33" s="221">
        <v>0</v>
      </c>
      <c r="S33" s="221">
        <f t="shared" si="3"/>
        <v>10535986.15</v>
      </c>
      <c r="T33" s="221">
        <f t="shared" si="2"/>
        <v>702.6801487261572</v>
      </c>
      <c r="U33" s="221">
        <v>3336.41</v>
      </c>
      <c r="V33" s="27">
        <f t="shared" si="0"/>
        <v>0</v>
      </c>
      <c r="CR33" s="1"/>
    </row>
    <row r="34" spans="1:96" ht="35.25" x14ac:dyDescent="0.5">
      <c r="A34">
        <v>1</v>
      </c>
      <c r="B34" s="223">
        <f>SUBTOTAL(9,$A$16:A34)</f>
        <v>19</v>
      </c>
      <c r="C34" s="225" t="s">
        <v>53</v>
      </c>
      <c r="D34" s="216"/>
      <c r="E34" s="216">
        <v>1985</v>
      </c>
      <c r="F34" s="216" t="s">
        <v>420</v>
      </c>
      <c r="G34" s="216">
        <v>16</v>
      </c>
      <c r="H34" s="216">
        <v>1</v>
      </c>
      <c r="I34" s="217">
        <v>4730.3</v>
      </c>
      <c r="J34" s="217">
        <v>4662</v>
      </c>
      <c r="K34" s="218">
        <v>208</v>
      </c>
      <c r="L34" s="216" t="s">
        <v>417</v>
      </c>
      <c r="M34" s="216" t="s">
        <v>423</v>
      </c>
      <c r="N34" s="219" t="s">
        <v>558</v>
      </c>
      <c r="O34" s="221">
        <v>6518096.2699999986</v>
      </c>
      <c r="P34" s="221">
        <v>0</v>
      </c>
      <c r="Q34" s="221">
        <v>0</v>
      </c>
      <c r="R34" s="221">
        <v>0</v>
      </c>
      <c r="S34" s="221">
        <f t="shared" si="3"/>
        <v>6518096.2699999986</v>
      </c>
      <c r="T34" s="221">
        <f t="shared" si="2"/>
        <v>1377.9456419254589</v>
      </c>
      <c r="U34" s="221">
        <v>1378.01</v>
      </c>
      <c r="V34" s="27">
        <f t="shared" si="0"/>
        <v>0</v>
      </c>
      <c r="CR34" s="1"/>
    </row>
    <row r="35" spans="1:96" ht="35.25" x14ac:dyDescent="0.5">
      <c r="A35">
        <v>1</v>
      </c>
      <c r="B35" s="223">
        <f>SUBTOTAL(9,$A$16:A35)</f>
        <v>20</v>
      </c>
      <c r="C35" s="225" t="s">
        <v>54</v>
      </c>
      <c r="D35" s="216"/>
      <c r="E35" s="216">
        <v>2002</v>
      </c>
      <c r="F35" s="216" t="s">
        <v>419</v>
      </c>
      <c r="G35" s="216">
        <v>6</v>
      </c>
      <c r="H35" s="216">
        <v>2</v>
      </c>
      <c r="I35" s="217">
        <v>4751.8</v>
      </c>
      <c r="J35" s="217">
        <v>4038.2</v>
      </c>
      <c r="K35" s="218">
        <v>143</v>
      </c>
      <c r="L35" s="216" t="s">
        <v>417</v>
      </c>
      <c r="M35" s="216" t="s">
        <v>423</v>
      </c>
      <c r="N35" s="219" t="s">
        <v>559</v>
      </c>
      <c r="O35" s="221">
        <v>17390629.430000003</v>
      </c>
      <c r="P35" s="221">
        <v>0</v>
      </c>
      <c r="Q35" s="221">
        <v>0</v>
      </c>
      <c r="R35" s="221">
        <v>0</v>
      </c>
      <c r="S35" s="221">
        <f t="shared" si="3"/>
        <v>17390629.430000003</v>
      </c>
      <c r="T35" s="221">
        <f t="shared" si="2"/>
        <v>3659.7982722336806</v>
      </c>
      <c r="U35" s="221">
        <v>3728.84</v>
      </c>
      <c r="V35" s="27">
        <f t="shared" si="0"/>
        <v>0</v>
      </c>
      <c r="CR35" s="1"/>
    </row>
    <row r="36" spans="1:96" ht="35.25" x14ac:dyDescent="0.5">
      <c r="A36">
        <v>1</v>
      </c>
      <c r="B36" s="223">
        <f>SUBTOTAL(9,$A$16:A36)</f>
        <v>21</v>
      </c>
      <c r="C36" s="225" t="s">
        <v>55</v>
      </c>
      <c r="D36" s="216"/>
      <c r="E36" s="216">
        <v>1961</v>
      </c>
      <c r="F36" s="216" t="s">
        <v>419</v>
      </c>
      <c r="G36" s="216">
        <v>4</v>
      </c>
      <c r="H36" s="216">
        <v>2</v>
      </c>
      <c r="I36" s="217">
        <v>1535.9</v>
      </c>
      <c r="J36" s="217">
        <v>1452.8</v>
      </c>
      <c r="K36" s="218">
        <v>53</v>
      </c>
      <c r="L36" s="216" t="s">
        <v>417</v>
      </c>
      <c r="M36" s="216" t="s">
        <v>423</v>
      </c>
      <c r="N36" s="219" t="s">
        <v>552</v>
      </c>
      <c r="O36" s="221">
        <v>7565564.080000001</v>
      </c>
      <c r="P36" s="221">
        <v>0</v>
      </c>
      <c r="Q36" s="221">
        <v>0</v>
      </c>
      <c r="R36" s="221">
        <v>0</v>
      </c>
      <c r="S36" s="221">
        <f t="shared" si="3"/>
        <v>7565564.080000001</v>
      </c>
      <c r="T36" s="221">
        <f t="shared" si="2"/>
        <v>4925.8181392017714</v>
      </c>
      <c r="U36" s="221">
        <v>5018.74</v>
      </c>
      <c r="V36" s="27">
        <f t="shared" si="0"/>
        <v>0</v>
      </c>
      <c r="CR36" s="1"/>
    </row>
    <row r="37" spans="1:96" ht="35.25" x14ac:dyDescent="0.5">
      <c r="A37">
        <v>1</v>
      </c>
      <c r="B37" s="223">
        <f>SUBTOTAL(9,$A$16:A37)</f>
        <v>22</v>
      </c>
      <c r="C37" s="225" t="s">
        <v>56</v>
      </c>
      <c r="D37" s="216"/>
      <c r="E37" s="216">
        <v>1964</v>
      </c>
      <c r="F37" s="216" t="s">
        <v>419</v>
      </c>
      <c r="G37" s="216">
        <v>5</v>
      </c>
      <c r="H37" s="216">
        <v>2</v>
      </c>
      <c r="I37" s="217">
        <v>1730</v>
      </c>
      <c r="J37" s="217">
        <v>1572.7</v>
      </c>
      <c r="K37" s="218">
        <v>81</v>
      </c>
      <c r="L37" s="216" t="s">
        <v>417</v>
      </c>
      <c r="M37" s="216" t="s">
        <v>423</v>
      </c>
      <c r="N37" s="219" t="s">
        <v>560</v>
      </c>
      <c r="O37" s="221">
        <v>7400543.5999999996</v>
      </c>
      <c r="P37" s="221">
        <v>0</v>
      </c>
      <c r="Q37" s="221">
        <v>0</v>
      </c>
      <c r="R37" s="221">
        <v>0</v>
      </c>
      <c r="S37" s="221">
        <f t="shared" si="3"/>
        <v>7400543.5999999996</v>
      </c>
      <c r="T37" s="221">
        <f t="shared" si="2"/>
        <v>4277.7708670520233</v>
      </c>
      <c r="U37" s="221">
        <v>4358.46</v>
      </c>
      <c r="V37" s="27">
        <f t="shared" si="0"/>
        <v>0</v>
      </c>
      <c r="CR37" s="1"/>
    </row>
    <row r="38" spans="1:96" ht="35.25" x14ac:dyDescent="0.5">
      <c r="A38">
        <v>1</v>
      </c>
      <c r="B38" s="223">
        <f>SUBTOTAL(9,$A$16:A38)</f>
        <v>23</v>
      </c>
      <c r="C38" s="225" t="s">
        <v>57</v>
      </c>
      <c r="D38" s="216"/>
      <c r="E38" s="216">
        <v>1970</v>
      </c>
      <c r="F38" s="216" t="s">
        <v>419</v>
      </c>
      <c r="G38" s="216">
        <v>5</v>
      </c>
      <c r="H38" s="216">
        <v>4</v>
      </c>
      <c r="I38" s="217">
        <v>3615.1</v>
      </c>
      <c r="J38" s="217">
        <v>3336.4</v>
      </c>
      <c r="K38" s="218">
        <v>182</v>
      </c>
      <c r="L38" s="216" t="s">
        <v>417</v>
      </c>
      <c r="M38" s="216" t="s">
        <v>423</v>
      </c>
      <c r="N38" s="219" t="s">
        <v>561</v>
      </c>
      <c r="O38" s="221">
        <v>15486547</v>
      </c>
      <c r="P38" s="221">
        <v>0</v>
      </c>
      <c r="Q38" s="221">
        <v>0</v>
      </c>
      <c r="R38" s="221">
        <v>0</v>
      </c>
      <c r="S38" s="221">
        <f t="shared" si="3"/>
        <v>15486547</v>
      </c>
      <c r="T38" s="221">
        <f t="shared" si="2"/>
        <v>4283.8502392741557</v>
      </c>
      <c r="U38" s="221">
        <v>4364.66</v>
      </c>
      <c r="V38" s="27">
        <f t="shared" si="0"/>
        <v>0</v>
      </c>
      <c r="CR38" s="1"/>
    </row>
    <row r="39" spans="1:96" ht="35.25" x14ac:dyDescent="0.5">
      <c r="A39">
        <v>1</v>
      </c>
      <c r="B39" s="223">
        <f>SUBTOTAL(9,$A$16:A39)</f>
        <v>24</v>
      </c>
      <c r="C39" s="225" t="s">
        <v>38</v>
      </c>
      <c r="D39" s="216"/>
      <c r="E39" s="216">
        <v>1917</v>
      </c>
      <c r="F39" s="216" t="s">
        <v>419</v>
      </c>
      <c r="G39" s="216">
        <v>3</v>
      </c>
      <c r="H39" s="216">
        <v>2</v>
      </c>
      <c r="I39" s="217">
        <v>1172.2</v>
      </c>
      <c r="J39" s="217">
        <v>776.8</v>
      </c>
      <c r="K39" s="218">
        <v>26</v>
      </c>
      <c r="L39" s="216" t="s">
        <v>417</v>
      </c>
      <c r="M39" s="216" t="s">
        <v>423</v>
      </c>
      <c r="N39" s="219" t="s">
        <v>440</v>
      </c>
      <c r="O39" s="221">
        <v>12323380.82</v>
      </c>
      <c r="P39" s="221">
        <v>0</v>
      </c>
      <c r="Q39" s="221">
        <v>0</v>
      </c>
      <c r="R39" s="221">
        <v>0</v>
      </c>
      <c r="S39" s="221">
        <f t="shared" ref="S39" si="4">O39-P39-Q39-R39</f>
        <v>12323380.82</v>
      </c>
      <c r="T39" s="221">
        <f t="shared" ref="T39:T45" si="5">O39/I39</f>
        <v>10513.036017744413</v>
      </c>
      <c r="U39" s="221">
        <v>10513.55</v>
      </c>
      <c r="V39" s="27">
        <f t="shared" si="0"/>
        <v>0</v>
      </c>
      <c r="CR39" s="1"/>
    </row>
    <row r="40" spans="1:96" ht="35.25" x14ac:dyDescent="0.5">
      <c r="A40">
        <v>1</v>
      </c>
      <c r="B40" s="223">
        <f>SUBTOTAL(9,$A$16:A40)</f>
        <v>25</v>
      </c>
      <c r="C40" s="226" t="s">
        <v>699</v>
      </c>
      <c r="D40" s="227" t="s">
        <v>421</v>
      </c>
      <c r="E40" s="216">
        <v>1917</v>
      </c>
      <c r="F40" s="216" t="s">
        <v>419</v>
      </c>
      <c r="G40" s="216">
        <v>3</v>
      </c>
      <c r="H40" s="216">
        <v>3</v>
      </c>
      <c r="I40" s="217">
        <v>2008</v>
      </c>
      <c r="J40" s="217">
        <v>938</v>
      </c>
      <c r="K40" s="218">
        <v>44</v>
      </c>
      <c r="L40" s="216" t="s">
        <v>417</v>
      </c>
      <c r="M40" s="216" t="s">
        <v>423</v>
      </c>
      <c r="N40" s="219" t="s">
        <v>440</v>
      </c>
      <c r="O40" s="228">
        <v>36970099.490000002</v>
      </c>
      <c r="P40" s="228">
        <v>0</v>
      </c>
      <c r="Q40" s="228">
        <v>0</v>
      </c>
      <c r="R40" s="228">
        <f>O40-P40-Q40-S40</f>
        <v>36893503.719999999</v>
      </c>
      <c r="S40" s="228">
        <v>76595.770000000019</v>
      </c>
      <c r="T40" s="221">
        <f t="shared" si="2"/>
        <v>18411.404128486058</v>
      </c>
      <c r="U40" s="228">
        <f>T40</f>
        <v>18411.404128486058</v>
      </c>
      <c r="V40" s="27">
        <f t="shared" si="0"/>
        <v>3.2596290111541748E-9</v>
      </c>
      <c r="CR40" s="1"/>
    </row>
    <row r="41" spans="1:96" ht="35.25" x14ac:dyDescent="0.5">
      <c r="A41">
        <v>1</v>
      </c>
      <c r="B41" s="223">
        <f>SUBTOTAL(9,$A$16:A41)</f>
        <v>26</v>
      </c>
      <c r="C41" s="226" t="s">
        <v>700</v>
      </c>
      <c r="D41" s="227"/>
      <c r="E41" s="216">
        <v>1938</v>
      </c>
      <c r="F41" s="216" t="s">
        <v>419</v>
      </c>
      <c r="G41" s="216">
        <v>5</v>
      </c>
      <c r="H41" s="216">
        <v>4</v>
      </c>
      <c r="I41" s="217">
        <v>2023.17</v>
      </c>
      <c r="J41" s="217">
        <v>1576</v>
      </c>
      <c r="K41" s="218">
        <v>48</v>
      </c>
      <c r="L41" s="216" t="s">
        <v>417</v>
      </c>
      <c r="M41" s="216" t="s">
        <v>424</v>
      </c>
      <c r="N41" s="219" t="s">
        <v>425</v>
      </c>
      <c r="O41" s="228">
        <v>28232008.18</v>
      </c>
      <c r="P41" s="228">
        <v>0</v>
      </c>
      <c r="Q41" s="228">
        <v>0</v>
      </c>
      <c r="R41" s="228">
        <f t="shared" ref="R41:R46" si="6">O41</f>
        <v>28232008.18</v>
      </c>
      <c r="S41" s="228">
        <f t="shared" ref="S41:S46" si="7">O41-P41-Q41-R41</f>
        <v>0</v>
      </c>
      <c r="T41" s="221">
        <f t="shared" si="5"/>
        <v>13954.343026043287</v>
      </c>
      <c r="U41" s="228">
        <v>16960.003805908549</v>
      </c>
      <c r="V41" s="27">
        <f t="shared" si="0"/>
        <v>0</v>
      </c>
      <c r="CR41" s="1"/>
    </row>
    <row r="42" spans="1:96" ht="35.25" x14ac:dyDescent="0.5">
      <c r="A42">
        <v>1</v>
      </c>
      <c r="B42" s="223">
        <f>SUBTOTAL(9,$A$16:A42)</f>
        <v>27</v>
      </c>
      <c r="C42" s="229" t="s">
        <v>749</v>
      </c>
      <c r="D42" s="227"/>
      <c r="E42" s="216">
        <v>1952</v>
      </c>
      <c r="F42" s="216" t="s">
        <v>419</v>
      </c>
      <c r="G42" s="216">
        <v>4</v>
      </c>
      <c r="H42" s="216">
        <v>4</v>
      </c>
      <c r="I42" s="217">
        <v>3765.7</v>
      </c>
      <c r="J42" s="217">
        <v>2725.2</v>
      </c>
      <c r="K42" s="218">
        <v>97</v>
      </c>
      <c r="L42" s="216" t="s">
        <v>417</v>
      </c>
      <c r="M42" s="216" t="s">
        <v>423</v>
      </c>
      <c r="N42" s="219" t="s">
        <v>585</v>
      </c>
      <c r="O42" s="228">
        <v>16814441.57</v>
      </c>
      <c r="P42" s="228">
        <v>0</v>
      </c>
      <c r="Q42" s="228">
        <v>0</v>
      </c>
      <c r="R42" s="228">
        <f t="shared" si="6"/>
        <v>16814441.57</v>
      </c>
      <c r="S42" s="228">
        <f t="shared" si="7"/>
        <v>0</v>
      </c>
      <c r="T42" s="221">
        <f t="shared" si="2"/>
        <v>4465.1569615210983</v>
      </c>
      <c r="U42" s="228">
        <v>8481.147603367237</v>
      </c>
      <c r="V42" s="27">
        <f t="shared" si="0"/>
        <v>0</v>
      </c>
      <c r="CR42" s="1"/>
    </row>
    <row r="43" spans="1:96" ht="35.25" x14ac:dyDescent="0.5">
      <c r="A43">
        <v>1</v>
      </c>
      <c r="B43" s="223">
        <f>SUBTOTAL(9,$A$16:A43)</f>
        <v>28</v>
      </c>
      <c r="C43" s="229" t="s">
        <v>750</v>
      </c>
      <c r="D43" s="227"/>
      <c r="E43" s="216">
        <v>1954</v>
      </c>
      <c r="F43" s="216" t="s">
        <v>419</v>
      </c>
      <c r="G43" s="216">
        <v>4</v>
      </c>
      <c r="H43" s="216">
        <v>4</v>
      </c>
      <c r="I43" s="217">
        <v>3560.78</v>
      </c>
      <c r="J43" s="217">
        <v>3106.1</v>
      </c>
      <c r="K43" s="218">
        <v>114</v>
      </c>
      <c r="L43" s="216" t="s">
        <v>417</v>
      </c>
      <c r="M43" s="216" t="s">
        <v>423</v>
      </c>
      <c r="N43" s="219" t="s">
        <v>549</v>
      </c>
      <c r="O43" s="228">
        <v>14698140.860000001</v>
      </c>
      <c r="P43" s="228">
        <v>0</v>
      </c>
      <c r="Q43" s="228">
        <v>0</v>
      </c>
      <c r="R43" s="228">
        <f t="shared" si="6"/>
        <v>14698140.860000001</v>
      </c>
      <c r="S43" s="228">
        <f t="shared" si="7"/>
        <v>0</v>
      </c>
      <c r="T43" s="221">
        <f t="shared" si="5"/>
        <v>4127.7868500721752</v>
      </c>
      <c r="U43" s="228">
        <v>8229.1322568650685</v>
      </c>
      <c r="V43" s="27">
        <f t="shared" si="0"/>
        <v>0</v>
      </c>
      <c r="CR43" s="1"/>
    </row>
    <row r="44" spans="1:96" ht="35.25" x14ac:dyDescent="0.5">
      <c r="A44">
        <v>1</v>
      </c>
      <c r="B44" s="223">
        <f>SUBTOTAL(9,$A$16:A44)</f>
        <v>29</v>
      </c>
      <c r="C44" s="229" t="s">
        <v>751</v>
      </c>
      <c r="D44" s="227"/>
      <c r="E44" s="216">
        <v>1929</v>
      </c>
      <c r="F44" s="216" t="s">
        <v>419</v>
      </c>
      <c r="G44" s="216">
        <v>3</v>
      </c>
      <c r="H44" s="216">
        <v>1</v>
      </c>
      <c r="I44" s="217">
        <v>566.5</v>
      </c>
      <c r="J44" s="217">
        <v>515.5</v>
      </c>
      <c r="K44" s="218">
        <v>13</v>
      </c>
      <c r="L44" s="216" t="s">
        <v>417</v>
      </c>
      <c r="M44" s="216" t="s">
        <v>423</v>
      </c>
      <c r="N44" s="219" t="s">
        <v>549</v>
      </c>
      <c r="O44" s="228">
        <v>3268778.52</v>
      </c>
      <c r="P44" s="228">
        <v>0</v>
      </c>
      <c r="Q44" s="228">
        <v>0</v>
      </c>
      <c r="R44" s="228">
        <f t="shared" si="6"/>
        <v>3268778.52</v>
      </c>
      <c r="S44" s="228">
        <f t="shared" si="7"/>
        <v>0</v>
      </c>
      <c r="T44" s="221">
        <f t="shared" si="2"/>
        <v>5770.1297793468666</v>
      </c>
      <c r="U44" s="228">
        <v>11143.685950573697</v>
      </c>
      <c r="V44" s="27">
        <f t="shared" si="0"/>
        <v>0</v>
      </c>
      <c r="CR44" s="1"/>
    </row>
    <row r="45" spans="1:96" ht="35.25" x14ac:dyDescent="0.5">
      <c r="A45">
        <v>1</v>
      </c>
      <c r="B45" s="223">
        <f>SUBTOTAL(9,$A$16:A45)</f>
        <v>30</v>
      </c>
      <c r="C45" s="229" t="s">
        <v>752</v>
      </c>
      <c r="D45" s="227"/>
      <c r="E45" s="216">
        <v>1928</v>
      </c>
      <c r="F45" s="216" t="s">
        <v>419</v>
      </c>
      <c r="G45" s="216">
        <v>3</v>
      </c>
      <c r="H45" s="216">
        <v>2</v>
      </c>
      <c r="I45" s="217">
        <v>806.4</v>
      </c>
      <c r="J45" s="217">
        <v>737.4</v>
      </c>
      <c r="K45" s="218">
        <v>33</v>
      </c>
      <c r="L45" s="216" t="s">
        <v>417</v>
      </c>
      <c r="M45" s="216" t="s">
        <v>424</v>
      </c>
      <c r="N45" s="219" t="s">
        <v>425</v>
      </c>
      <c r="O45" s="228">
        <v>5579901.2199999997</v>
      </c>
      <c r="P45" s="228">
        <v>0</v>
      </c>
      <c r="Q45" s="228">
        <v>0</v>
      </c>
      <c r="R45" s="228">
        <f t="shared" si="6"/>
        <v>5579901.2199999997</v>
      </c>
      <c r="S45" s="228">
        <f t="shared" si="7"/>
        <v>0</v>
      </c>
      <c r="T45" s="221">
        <f t="shared" si="5"/>
        <v>6919.5203621031742</v>
      </c>
      <c r="U45" s="228">
        <v>13728.683503224207</v>
      </c>
      <c r="V45" s="27">
        <f t="shared" si="0"/>
        <v>0</v>
      </c>
      <c r="CR45" s="1"/>
    </row>
    <row r="46" spans="1:96" ht="35.25" x14ac:dyDescent="0.5">
      <c r="A46">
        <v>1</v>
      </c>
      <c r="B46" s="223">
        <f>SUBTOTAL(9,$A$16:A46)</f>
        <v>31</v>
      </c>
      <c r="C46" s="229" t="s">
        <v>64</v>
      </c>
      <c r="D46" s="227"/>
      <c r="E46" s="216">
        <v>1957</v>
      </c>
      <c r="F46" s="216" t="s">
        <v>419</v>
      </c>
      <c r="G46" s="216">
        <v>4</v>
      </c>
      <c r="H46" s="216">
        <v>4</v>
      </c>
      <c r="I46" s="217">
        <v>3274.1</v>
      </c>
      <c r="J46" s="217">
        <v>2945.3</v>
      </c>
      <c r="K46" s="218">
        <v>109</v>
      </c>
      <c r="L46" s="216" t="s">
        <v>417</v>
      </c>
      <c r="M46" s="216" t="s">
        <v>423</v>
      </c>
      <c r="N46" s="219" t="s">
        <v>549</v>
      </c>
      <c r="O46" s="228">
        <v>16497788.369999999</v>
      </c>
      <c r="P46" s="228">
        <v>0</v>
      </c>
      <c r="Q46" s="228">
        <v>0</v>
      </c>
      <c r="R46" s="228">
        <f t="shared" si="6"/>
        <v>16497788.369999999</v>
      </c>
      <c r="S46" s="228">
        <f t="shared" si="7"/>
        <v>0</v>
      </c>
      <c r="T46" s="221">
        <f t="shared" si="2"/>
        <v>5038.8773617177239</v>
      </c>
      <c r="U46" s="228">
        <v>8755.9850862832536</v>
      </c>
      <c r="V46" s="27">
        <f t="shared" si="0"/>
        <v>0</v>
      </c>
      <c r="CR46" s="1"/>
    </row>
    <row r="47" spans="1:96" ht="35.25" x14ac:dyDescent="0.5">
      <c r="A47">
        <v>1</v>
      </c>
      <c r="B47" s="223">
        <f>SUBTOTAL(9,$A$16:A47)</f>
        <v>32</v>
      </c>
      <c r="C47" s="229" t="s">
        <v>765</v>
      </c>
      <c r="D47" s="227"/>
      <c r="E47" s="216">
        <v>1951</v>
      </c>
      <c r="F47" s="216" t="s">
        <v>419</v>
      </c>
      <c r="G47" s="216">
        <v>2</v>
      </c>
      <c r="H47" s="216">
        <v>1</v>
      </c>
      <c r="I47" s="217">
        <v>788.6</v>
      </c>
      <c r="J47" s="217">
        <v>515.70000000000005</v>
      </c>
      <c r="K47" s="218">
        <v>45</v>
      </c>
      <c r="L47" s="216" t="s">
        <v>417</v>
      </c>
      <c r="M47" s="216" t="s">
        <v>423</v>
      </c>
      <c r="N47" s="219" t="s">
        <v>585</v>
      </c>
      <c r="O47" s="228">
        <v>7289000.6600000001</v>
      </c>
      <c r="P47" s="228">
        <v>0</v>
      </c>
      <c r="Q47" s="228">
        <v>0</v>
      </c>
      <c r="R47" s="228">
        <v>7181281.4400000004</v>
      </c>
      <c r="S47" s="228">
        <f>O47-P47-Q47-R47</f>
        <v>107719.21999999974</v>
      </c>
      <c r="T47" s="221">
        <f t="shared" si="2"/>
        <v>9242.9630484402733</v>
      </c>
      <c r="U47" s="228">
        <v>11205.238016738524</v>
      </c>
      <c r="V47" s="27">
        <f t="shared" si="0"/>
        <v>0</v>
      </c>
      <c r="CR47" s="1"/>
    </row>
    <row r="48" spans="1:96" ht="35.25" x14ac:dyDescent="0.5">
      <c r="A48">
        <v>1</v>
      </c>
      <c r="B48" s="223">
        <f>SUBTOTAL(9,$A$16:A48)</f>
        <v>33</v>
      </c>
      <c r="C48" s="229" t="s">
        <v>766</v>
      </c>
      <c r="D48" s="227"/>
      <c r="E48" s="216">
        <v>1955</v>
      </c>
      <c r="F48" s="216" t="s">
        <v>419</v>
      </c>
      <c r="G48" s="216">
        <v>3</v>
      </c>
      <c r="H48" s="216">
        <v>2</v>
      </c>
      <c r="I48" s="217">
        <v>1722.8</v>
      </c>
      <c r="J48" s="217">
        <v>1107.2</v>
      </c>
      <c r="K48" s="218">
        <v>52</v>
      </c>
      <c r="L48" s="216" t="s">
        <v>417</v>
      </c>
      <c r="M48" s="216" t="s">
        <v>423</v>
      </c>
      <c r="N48" s="219" t="s">
        <v>770</v>
      </c>
      <c r="O48" s="228">
        <v>11439856.219999999</v>
      </c>
      <c r="P48" s="228">
        <v>0</v>
      </c>
      <c r="Q48" s="228">
        <v>0</v>
      </c>
      <c r="R48" s="228">
        <v>11270794.309999999</v>
      </c>
      <c r="S48" s="228">
        <f t="shared" ref="S48:S52" si="8">O48-P48-Q48-R48</f>
        <v>169061.91000000015</v>
      </c>
      <c r="T48" s="221">
        <f t="shared" si="2"/>
        <v>6640.2694566983973</v>
      </c>
      <c r="U48" s="228">
        <v>7728.6536902136068</v>
      </c>
      <c r="V48" s="27">
        <f t="shared" si="0"/>
        <v>0</v>
      </c>
      <c r="CR48" s="1"/>
    </row>
    <row r="49" spans="1:96" ht="35.25" x14ac:dyDescent="0.5">
      <c r="A49">
        <v>1</v>
      </c>
      <c r="B49" s="223">
        <f>SUBTOTAL(9,$A$16:A49)</f>
        <v>34</v>
      </c>
      <c r="C49" s="229" t="s">
        <v>767</v>
      </c>
      <c r="D49" s="227"/>
      <c r="E49" s="216">
        <v>1960</v>
      </c>
      <c r="F49" s="216" t="s">
        <v>419</v>
      </c>
      <c r="G49" s="216">
        <v>3</v>
      </c>
      <c r="H49" s="216">
        <v>2</v>
      </c>
      <c r="I49" s="217">
        <v>1103.2</v>
      </c>
      <c r="J49" s="217">
        <v>948.9</v>
      </c>
      <c r="K49" s="218">
        <v>41</v>
      </c>
      <c r="L49" s="216" t="s">
        <v>417</v>
      </c>
      <c r="M49" s="216" t="s">
        <v>423</v>
      </c>
      <c r="N49" s="219" t="s">
        <v>549</v>
      </c>
      <c r="O49" s="228">
        <v>9189129.25</v>
      </c>
      <c r="P49" s="228">
        <v>0</v>
      </c>
      <c r="Q49" s="228">
        <v>0</v>
      </c>
      <c r="R49" s="228">
        <v>9053329.3100000005</v>
      </c>
      <c r="S49" s="228">
        <f t="shared" si="8"/>
        <v>135799.93999999948</v>
      </c>
      <c r="T49" s="221">
        <f t="shared" si="2"/>
        <v>8329.5225253807112</v>
      </c>
      <c r="U49" s="228">
        <v>9646.7548020304566</v>
      </c>
      <c r="V49" s="27">
        <f t="shared" si="0"/>
        <v>0</v>
      </c>
      <c r="CR49" s="1"/>
    </row>
    <row r="50" spans="1:96" ht="35.25" x14ac:dyDescent="0.5">
      <c r="A50">
        <v>1</v>
      </c>
      <c r="B50" s="223">
        <f>SUBTOTAL(9,$A$16:A50)</f>
        <v>35</v>
      </c>
      <c r="C50" s="229" t="s">
        <v>768</v>
      </c>
      <c r="D50" s="216"/>
      <c r="E50" s="216">
        <v>1939</v>
      </c>
      <c r="F50" s="216" t="s">
        <v>419</v>
      </c>
      <c r="G50" s="216">
        <v>3</v>
      </c>
      <c r="H50" s="216">
        <v>3</v>
      </c>
      <c r="I50" s="216">
        <v>848.2</v>
      </c>
      <c r="J50" s="216">
        <v>663.8</v>
      </c>
      <c r="K50" s="218">
        <v>27</v>
      </c>
      <c r="L50" s="216" t="s">
        <v>417</v>
      </c>
      <c r="M50" s="216" t="s">
        <v>423</v>
      </c>
      <c r="N50" s="219" t="s">
        <v>549</v>
      </c>
      <c r="O50" s="228">
        <v>400000</v>
      </c>
      <c r="P50" s="228">
        <v>0</v>
      </c>
      <c r="Q50" s="228">
        <v>0</v>
      </c>
      <c r="R50" s="228">
        <v>0</v>
      </c>
      <c r="S50" s="228">
        <f t="shared" si="8"/>
        <v>400000</v>
      </c>
      <c r="T50" s="221">
        <f t="shared" si="2"/>
        <v>471.58688988446119</v>
      </c>
      <c r="U50" s="228">
        <f>T50</f>
        <v>471.58688988446119</v>
      </c>
      <c r="V50" s="27">
        <f t="shared" si="0"/>
        <v>0</v>
      </c>
      <c r="CR50" s="1"/>
    </row>
    <row r="51" spans="1:96" ht="35.25" x14ac:dyDescent="0.5">
      <c r="A51">
        <v>1</v>
      </c>
      <c r="B51" s="223">
        <f>SUBTOTAL(9,$A$16:A51)</f>
        <v>36</v>
      </c>
      <c r="C51" s="229" t="s">
        <v>721</v>
      </c>
      <c r="D51" s="216"/>
      <c r="E51" s="216">
        <v>1957</v>
      </c>
      <c r="F51" s="216" t="s">
        <v>419</v>
      </c>
      <c r="G51" s="216">
        <v>4</v>
      </c>
      <c r="H51" s="216">
        <v>3</v>
      </c>
      <c r="I51" s="217">
        <v>3035.2</v>
      </c>
      <c r="J51" s="217">
        <v>2144.5</v>
      </c>
      <c r="K51" s="218">
        <v>81</v>
      </c>
      <c r="L51" s="216" t="s">
        <v>417</v>
      </c>
      <c r="M51" s="216" t="s">
        <v>423</v>
      </c>
      <c r="N51" s="219" t="s">
        <v>549</v>
      </c>
      <c r="O51" s="228">
        <v>400000</v>
      </c>
      <c r="P51" s="228">
        <v>0</v>
      </c>
      <c r="Q51" s="228">
        <v>0</v>
      </c>
      <c r="R51" s="228">
        <v>0</v>
      </c>
      <c r="S51" s="228">
        <f t="shared" si="8"/>
        <v>400000</v>
      </c>
      <c r="T51" s="221">
        <f t="shared" si="2"/>
        <v>131.78703215603585</v>
      </c>
      <c r="U51" s="228">
        <f t="shared" ref="U51:U52" si="9">T51</f>
        <v>131.78703215603585</v>
      </c>
      <c r="V51" s="27">
        <f t="shared" si="0"/>
        <v>0</v>
      </c>
      <c r="CR51" s="1"/>
    </row>
    <row r="52" spans="1:96" ht="35.25" x14ac:dyDescent="0.5">
      <c r="A52">
        <v>1</v>
      </c>
      <c r="B52" s="223">
        <f>SUBTOTAL(9,$A$16:A52)</f>
        <v>37</v>
      </c>
      <c r="C52" s="229" t="s">
        <v>769</v>
      </c>
      <c r="D52" s="216"/>
      <c r="E52" s="216">
        <v>1955</v>
      </c>
      <c r="F52" s="216" t="s">
        <v>419</v>
      </c>
      <c r="G52" s="216">
        <v>4</v>
      </c>
      <c r="H52" s="216">
        <v>2</v>
      </c>
      <c r="I52" s="217">
        <v>2756.1</v>
      </c>
      <c r="J52" s="217">
        <v>2543.5</v>
      </c>
      <c r="K52" s="218">
        <v>68</v>
      </c>
      <c r="L52" s="216" t="s">
        <v>417</v>
      </c>
      <c r="M52" s="216" t="s">
        <v>423</v>
      </c>
      <c r="N52" s="219" t="s">
        <v>549</v>
      </c>
      <c r="O52" s="228">
        <v>400000</v>
      </c>
      <c r="P52" s="228">
        <v>0</v>
      </c>
      <c r="Q52" s="228">
        <v>0</v>
      </c>
      <c r="R52" s="228">
        <v>0</v>
      </c>
      <c r="S52" s="228">
        <f t="shared" si="8"/>
        <v>400000</v>
      </c>
      <c r="T52" s="221">
        <f t="shared" si="2"/>
        <v>145.13261492688946</v>
      </c>
      <c r="U52" s="228">
        <f t="shared" si="9"/>
        <v>145.13261492688946</v>
      </c>
      <c r="V52" s="27">
        <f t="shared" si="0"/>
        <v>0</v>
      </c>
      <c r="CR52" s="1"/>
    </row>
    <row r="53" spans="1:96" s="57" customFormat="1" ht="35.25" x14ac:dyDescent="0.5">
      <c r="A53"/>
      <c r="B53" s="215" t="s">
        <v>416</v>
      </c>
      <c r="C53" s="222"/>
      <c r="D53" s="216" t="s">
        <v>422</v>
      </c>
      <c r="E53" s="216" t="s">
        <v>422</v>
      </c>
      <c r="F53" s="216" t="s">
        <v>422</v>
      </c>
      <c r="G53" s="216" t="s">
        <v>422</v>
      </c>
      <c r="H53" s="216" t="s">
        <v>422</v>
      </c>
      <c r="I53" s="217">
        <f>SUM(I54:I60)</f>
        <v>8608.6</v>
      </c>
      <c r="J53" s="217">
        <f t="shared" ref="J53:K53" si="10">SUM(J54:J60)</f>
        <v>8042.0999999999995</v>
      </c>
      <c r="K53" s="218">
        <f t="shared" si="10"/>
        <v>355</v>
      </c>
      <c r="L53" s="216" t="s">
        <v>422</v>
      </c>
      <c r="M53" s="216" t="s">
        <v>422</v>
      </c>
      <c r="N53" s="219" t="s">
        <v>422</v>
      </c>
      <c r="O53" s="220">
        <f>SUM(O54:O60)</f>
        <v>50230675.549999997</v>
      </c>
      <c r="P53" s="220">
        <f t="shared" ref="P53:S53" si="11">SUM(P54:P60)</f>
        <v>0</v>
      </c>
      <c r="Q53" s="220">
        <f t="shared" si="11"/>
        <v>0</v>
      </c>
      <c r="R53" s="220">
        <f t="shared" si="11"/>
        <v>0</v>
      </c>
      <c r="S53" s="220">
        <f t="shared" si="11"/>
        <v>50230675.549999997</v>
      </c>
      <c r="T53" s="221">
        <f t="shared" ref="T53:T102" si="12">O53/I53</f>
        <v>5834.9412854587272</v>
      </c>
      <c r="U53" s="221">
        <f>MAX(U54:U60)</f>
        <v>18761.47</v>
      </c>
      <c r="V53" s="27">
        <f t="shared" si="0"/>
        <v>0</v>
      </c>
      <c r="CR53" s="58"/>
    </row>
    <row r="54" spans="1:96" ht="35.25" x14ac:dyDescent="0.5">
      <c r="A54">
        <v>1</v>
      </c>
      <c r="B54" s="223">
        <f>SUBTOTAL(9,$A$16:A54)</f>
        <v>38</v>
      </c>
      <c r="C54" s="225" t="s">
        <v>156</v>
      </c>
      <c r="D54" s="216"/>
      <c r="E54" s="216">
        <v>1973</v>
      </c>
      <c r="F54" s="216" t="s">
        <v>419</v>
      </c>
      <c r="G54" s="216">
        <v>5</v>
      </c>
      <c r="H54" s="216">
        <v>4</v>
      </c>
      <c r="I54" s="217">
        <v>3917.6</v>
      </c>
      <c r="J54" s="217">
        <v>3656.2</v>
      </c>
      <c r="K54" s="218">
        <v>146</v>
      </c>
      <c r="L54" s="216" t="s">
        <v>417</v>
      </c>
      <c r="M54" s="216" t="s">
        <v>423</v>
      </c>
      <c r="N54" s="219" t="s">
        <v>437</v>
      </c>
      <c r="O54" s="221">
        <v>8932492.4699999988</v>
      </c>
      <c r="P54" s="221">
        <v>0</v>
      </c>
      <c r="Q54" s="221">
        <v>0</v>
      </c>
      <c r="R54" s="221">
        <v>0</v>
      </c>
      <c r="S54" s="221">
        <f>O54-P54-Q54-R54</f>
        <v>8932492.4699999988</v>
      </c>
      <c r="T54" s="221">
        <f t="shared" si="12"/>
        <v>2280.0930340004084</v>
      </c>
      <c r="U54" s="221">
        <v>4494.45</v>
      </c>
      <c r="V54" s="27">
        <f t="shared" si="0"/>
        <v>0</v>
      </c>
      <c r="CR54" s="1"/>
    </row>
    <row r="55" spans="1:96" ht="35.25" x14ac:dyDescent="0.5">
      <c r="A55">
        <v>1</v>
      </c>
      <c r="B55" s="223">
        <f>SUBTOTAL(9,$A$16:A55)</f>
        <v>39</v>
      </c>
      <c r="C55" s="225" t="s">
        <v>157</v>
      </c>
      <c r="D55" s="216"/>
      <c r="E55" s="216">
        <v>1960</v>
      </c>
      <c r="F55" s="216" t="s">
        <v>419</v>
      </c>
      <c r="G55" s="216">
        <v>2</v>
      </c>
      <c r="H55" s="216">
        <v>2</v>
      </c>
      <c r="I55" s="217">
        <v>805.8</v>
      </c>
      <c r="J55" s="217">
        <v>710.7</v>
      </c>
      <c r="K55" s="218">
        <v>18</v>
      </c>
      <c r="L55" s="216" t="s">
        <v>417</v>
      </c>
      <c r="M55" s="216" t="s">
        <v>426</v>
      </c>
      <c r="N55" s="219" t="s">
        <v>484</v>
      </c>
      <c r="O55" s="221">
        <v>7175385.25</v>
      </c>
      <c r="P55" s="221">
        <v>0</v>
      </c>
      <c r="Q55" s="221">
        <v>0</v>
      </c>
      <c r="R55" s="221">
        <v>0</v>
      </c>
      <c r="S55" s="221">
        <f>O55-P55-Q55-R55</f>
        <v>7175385.25</v>
      </c>
      <c r="T55" s="221">
        <f t="shared" si="12"/>
        <v>8904.6726855299094</v>
      </c>
      <c r="U55" s="221">
        <v>18761.47</v>
      </c>
      <c r="V55" s="27">
        <f t="shared" si="0"/>
        <v>0</v>
      </c>
      <c r="CR55" s="1"/>
    </row>
    <row r="56" spans="1:96" ht="35.25" x14ac:dyDescent="0.5">
      <c r="A56">
        <v>1</v>
      </c>
      <c r="B56" s="223">
        <f>SUBTOTAL(9,$A$16:A56)</f>
        <v>40</v>
      </c>
      <c r="C56" s="225" t="s">
        <v>158</v>
      </c>
      <c r="D56" s="216"/>
      <c r="E56" s="216">
        <v>1974</v>
      </c>
      <c r="F56" s="216" t="s">
        <v>485</v>
      </c>
      <c r="G56" s="216">
        <v>2</v>
      </c>
      <c r="H56" s="216">
        <v>3</v>
      </c>
      <c r="I56" s="217">
        <v>865.2</v>
      </c>
      <c r="J56" s="217">
        <v>784.1</v>
      </c>
      <c r="K56" s="218">
        <v>47</v>
      </c>
      <c r="L56" s="216" t="s">
        <v>417</v>
      </c>
      <c r="M56" s="216" t="s">
        <v>423</v>
      </c>
      <c r="N56" s="219" t="s">
        <v>437</v>
      </c>
      <c r="O56" s="221">
        <v>6101385.3399999999</v>
      </c>
      <c r="P56" s="221">
        <v>0</v>
      </c>
      <c r="Q56" s="221">
        <v>0</v>
      </c>
      <c r="R56" s="221">
        <v>0</v>
      </c>
      <c r="S56" s="221">
        <f>O56-P56-Q56-R56</f>
        <v>6101385.3399999999</v>
      </c>
      <c r="T56" s="221">
        <f t="shared" si="12"/>
        <v>7051.9941516412382</v>
      </c>
      <c r="U56" s="221">
        <v>11465.42</v>
      </c>
      <c r="V56" s="27">
        <f t="shared" si="0"/>
        <v>0</v>
      </c>
      <c r="CR56" s="1"/>
    </row>
    <row r="57" spans="1:96" s="30" customFormat="1" ht="70.5" x14ac:dyDescent="0.4">
      <c r="A57" s="30">
        <v>1</v>
      </c>
      <c r="B57" s="230">
        <f>SUBTOTAL(9,$A$16:A57)</f>
        <v>41</v>
      </c>
      <c r="C57" s="225" t="s">
        <v>578</v>
      </c>
      <c r="D57" s="230"/>
      <c r="E57" s="230">
        <v>1986</v>
      </c>
      <c r="F57" s="230" t="s">
        <v>419</v>
      </c>
      <c r="G57" s="230">
        <v>2</v>
      </c>
      <c r="H57" s="230">
        <v>3</v>
      </c>
      <c r="I57" s="231">
        <v>923.3</v>
      </c>
      <c r="J57" s="231">
        <v>871.2</v>
      </c>
      <c r="K57" s="232">
        <v>47</v>
      </c>
      <c r="L57" s="230" t="s">
        <v>417</v>
      </c>
      <c r="M57" s="230" t="s">
        <v>423</v>
      </c>
      <c r="N57" s="233" t="s">
        <v>583</v>
      </c>
      <c r="O57" s="234">
        <v>6385014.2399999993</v>
      </c>
      <c r="P57" s="234">
        <v>0</v>
      </c>
      <c r="Q57" s="234">
        <v>0</v>
      </c>
      <c r="R57" s="234">
        <v>0</v>
      </c>
      <c r="S57" s="234">
        <f>O57-P57-Q57-R57</f>
        <v>6385014.2399999993</v>
      </c>
      <c r="T57" s="234">
        <f t="shared" si="12"/>
        <v>6915.4275316798439</v>
      </c>
      <c r="U57" s="234">
        <v>11378.72</v>
      </c>
      <c r="V57" s="27">
        <f t="shared" si="0"/>
        <v>0</v>
      </c>
      <c r="CR57" s="32"/>
    </row>
    <row r="58" spans="1:96" ht="35.25" x14ac:dyDescent="0.5">
      <c r="A58">
        <v>1</v>
      </c>
      <c r="B58" s="223">
        <f>SUBTOTAL(9,$A$16:A58)</f>
        <v>42</v>
      </c>
      <c r="C58" s="225" t="s">
        <v>579</v>
      </c>
      <c r="D58" s="216"/>
      <c r="E58" s="216">
        <v>1986</v>
      </c>
      <c r="F58" s="216" t="s">
        <v>419</v>
      </c>
      <c r="G58" s="216">
        <v>2</v>
      </c>
      <c r="H58" s="216">
        <v>3</v>
      </c>
      <c r="I58" s="217">
        <v>866</v>
      </c>
      <c r="J58" s="217">
        <v>789.2</v>
      </c>
      <c r="K58" s="218">
        <v>26</v>
      </c>
      <c r="L58" s="216" t="s">
        <v>417</v>
      </c>
      <c r="M58" s="216" t="s">
        <v>424</v>
      </c>
      <c r="N58" s="219" t="s">
        <v>425</v>
      </c>
      <c r="O58" s="221">
        <v>7258466.9900000002</v>
      </c>
      <c r="P58" s="221">
        <v>0</v>
      </c>
      <c r="Q58" s="221">
        <v>0</v>
      </c>
      <c r="R58" s="221">
        <v>0</v>
      </c>
      <c r="S58" s="221">
        <f>O58-P58-Q58-R58</f>
        <v>7258466.9900000002</v>
      </c>
      <c r="T58" s="221">
        <f t="shared" si="12"/>
        <v>8381.6016050808321</v>
      </c>
      <c r="U58" s="221">
        <v>13163.59</v>
      </c>
      <c r="V58" s="27">
        <f t="shared" si="0"/>
        <v>0</v>
      </c>
      <c r="CR58" s="1"/>
    </row>
    <row r="59" spans="1:96" ht="35.25" x14ac:dyDescent="0.5">
      <c r="A59">
        <v>1</v>
      </c>
      <c r="B59" s="223">
        <f>SUBTOTAL(9,$A$16:A59)</f>
        <v>43</v>
      </c>
      <c r="C59" s="226" t="s">
        <v>602</v>
      </c>
      <c r="D59" s="227" t="s">
        <v>421</v>
      </c>
      <c r="E59" s="216">
        <v>1955</v>
      </c>
      <c r="F59" s="216" t="s">
        <v>419</v>
      </c>
      <c r="G59" s="216">
        <v>2</v>
      </c>
      <c r="H59" s="216" t="s">
        <v>317</v>
      </c>
      <c r="I59" s="217">
        <v>388.3</v>
      </c>
      <c r="J59" s="217">
        <v>388.3</v>
      </c>
      <c r="K59" s="218">
        <v>24</v>
      </c>
      <c r="L59" s="216" t="s">
        <v>417</v>
      </c>
      <c r="M59" s="216" t="s">
        <v>424</v>
      </c>
      <c r="N59" s="219" t="s">
        <v>425</v>
      </c>
      <c r="O59" s="228">
        <v>3048402.26</v>
      </c>
      <c r="P59" s="228">
        <v>0</v>
      </c>
      <c r="Q59" s="228">
        <v>0</v>
      </c>
      <c r="R59" s="228">
        <v>0</v>
      </c>
      <c r="S59" s="228">
        <f>O59-Q59-R59</f>
        <v>3048402.26</v>
      </c>
      <c r="T59" s="235">
        <f>O59/I59</f>
        <v>7850.6367756888994</v>
      </c>
      <c r="U59" s="228">
        <v>13302.36</v>
      </c>
      <c r="V59" s="27">
        <f t="shared" si="0"/>
        <v>0</v>
      </c>
      <c r="W59" s="33">
        <v>0</v>
      </c>
      <c r="X59" s="33">
        <v>0</v>
      </c>
      <c r="Y59" s="33">
        <v>0</v>
      </c>
      <c r="Z59" s="33">
        <v>0</v>
      </c>
      <c r="AA59" s="34"/>
      <c r="AB59" s="1">
        <f>O59-P59-Q59-R59-S59</f>
        <v>0</v>
      </c>
      <c r="AD59" s="35">
        <v>450.1</v>
      </c>
      <c r="AE59">
        <f>AD59*8294.83/I59</f>
        <v>9614.9960932268859</v>
      </c>
      <c r="AH59" t="e">
        <f>VLOOKUP(C59,AI:AJ,2,FALSE)</f>
        <v>#N/A</v>
      </c>
      <c r="BU59" s="1">
        <f>U59-T59</f>
        <v>5451.7232243111011</v>
      </c>
      <c r="BW59" t="e">
        <f>VLOOKUP(C59,BX:BY,2,FALSE)</f>
        <v>#N/A</v>
      </c>
      <c r="CN59" s="1"/>
      <c r="CR59" s="1"/>
    </row>
    <row r="60" spans="1:96" ht="35.25" x14ac:dyDescent="0.5">
      <c r="A60">
        <v>1</v>
      </c>
      <c r="B60" s="223">
        <f>SUBTOTAL(9,$A$16:A60)</f>
        <v>44</v>
      </c>
      <c r="C60" s="226" t="s">
        <v>744</v>
      </c>
      <c r="D60" s="227"/>
      <c r="E60" s="216">
        <v>1983</v>
      </c>
      <c r="F60" s="216" t="s">
        <v>419</v>
      </c>
      <c r="G60" s="216">
        <v>2</v>
      </c>
      <c r="H60" s="216">
        <v>3</v>
      </c>
      <c r="I60" s="217">
        <v>842.4</v>
      </c>
      <c r="J60" s="217">
        <v>842.4</v>
      </c>
      <c r="K60" s="218">
        <v>47</v>
      </c>
      <c r="L60" s="216" t="s">
        <v>417</v>
      </c>
      <c r="M60" s="216" t="s">
        <v>424</v>
      </c>
      <c r="N60" s="219" t="s">
        <v>425</v>
      </c>
      <c r="O60" s="228">
        <v>11329529</v>
      </c>
      <c r="P60" s="228">
        <v>0</v>
      </c>
      <c r="Q60" s="228">
        <v>0</v>
      </c>
      <c r="R60" s="228">
        <v>0</v>
      </c>
      <c r="S60" s="228">
        <f>O60-Q60-R60</f>
        <v>11329529</v>
      </c>
      <c r="T60" s="235">
        <f>O60/I60</f>
        <v>13449.108499525166</v>
      </c>
      <c r="U60" s="228">
        <v>13532.37</v>
      </c>
      <c r="V60" s="27">
        <f t="shared" si="0"/>
        <v>0</v>
      </c>
      <c r="W60" s="36"/>
      <c r="X60" s="36"/>
      <c r="Y60" s="36"/>
      <c r="Z60" s="36"/>
      <c r="AA60" s="34"/>
      <c r="AB60" s="1"/>
      <c r="AD60" s="37"/>
      <c r="BU60" s="1"/>
      <c r="CN60" s="1"/>
      <c r="CR60" s="1"/>
    </row>
    <row r="61" spans="1:96" ht="35.25" x14ac:dyDescent="0.5">
      <c r="B61" s="215" t="s">
        <v>414</v>
      </c>
      <c r="C61" s="222"/>
      <c r="D61" s="216" t="s">
        <v>422</v>
      </c>
      <c r="E61" s="216" t="s">
        <v>422</v>
      </c>
      <c r="F61" s="216" t="s">
        <v>422</v>
      </c>
      <c r="G61" s="216" t="s">
        <v>422</v>
      </c>
      <c r="H61" s="216" t="s">
        <v>422</v>
      </c>
      <c r="I61" s="217">
        <f>SUM(I62:I75)</f>
        <v>27138.5</v>
      </c>
      <c r="J61" s="217">
        <f>SUM(J62:J75)</f>
        <v>21904.39</v>
      </c>
      <c r="K61" s="218">
        <f>SUM(K62:K75)</f>
        <v>1123</v>
      </c>
      <c r="L61" s="216" t="s">
        <v>422</v>
      </c>
      <c r="M61" s="216" t="s">
        <v>422</v>
      </c>
      <c r="N61" s="219" t="s">
        <v>422</v>
      </c>
      <c r="O61" s="220">
        <f>SUM(O62:O75)</f>
        <v>120022693.69999999</v>
      </c>
      <c r="P61" s="220">
        <f>SUM(P62:P75)</f>
        <v>0</v>
      </c>
      <c r="Q61" s="220">
        <f>SUM(Q62:Q75)</f>
        <v>0</v>
      </c>
      <c r="R61" s="220">
        <f>SUM(R62:R75)</f>
        <v>0</v>
      </c>
      <c r="S61" s="220">
        <f>SUM(S62:S75)</f>
        <v>120022693.69999999</v>
      </c>
      <c r="T61" s="221">
        <f t="shared" si="12"/>
        <v>4422.5986587320594</v>
      </c>
      <c r="U61" s="221">
        <f>MAX(U62:U75)</f>
        <v>17969.662028029681</v>
      </c>
      <c r="V61" s="27">
        <f t="shared" si="0"/>
        <v>0</v>
      </c>
      <c r="CR61" s="1"/>
    </row>
    <row r="62" spans="1:96" ht="35.25" x14ac:dyDescent="0.5">
      <c r="A62">
        <v>1</v>
      </c>
      <c r="B62" s="223">
        <f>SUBTOTAL(9,$A$16:A62)</f>
        <v>45</v>
      </c>
      <c r="C62" s="225" t="s">
        <v>114</v>
      </c>
      <c r="D62" s="216"/>
      <c r="E62" s="216">
        <v>1993</v>
      </c>
      <c r="F62" s="216" t="s">
        <v>419</v>
      </c>
      <c r="G62" s="216">
        <v>2</v>
      </c>
      <c r="H62" s="216" t="s">
        <v>317</v>
      </c>
      <c r="I62" s="217">
        <v>602.5</v>
      </c>
      <c r="J62" s="217">
        <v>381.6</v>
      </c>
      <c r="K62" s="218">
        <v>21</v>
      </c>
      <c r="L62" s="216" t="s">
        <v>417</v>
      </c>
      <c r="M62" s="216" t="s">
        <v>424</v>
      </c>
      <c r="N62" s="219" t="s">
        <v>425</v>
      </c>
      <c r="O62" s="221">
        <v>4117077.3099999996</v>
      </c>
      <c r="P62" s="221">
        <v>0</v>
      </c>
      <c r="Q62" s="221">
        <v>0</v>
      </c>
      <c r="R62" s="221">
        <v>0</v>
      </c>
      <c r="S62" s="221">
        <f t="shared" ref="S62:S85" si="13">O62-P62-Q62-R62</f>
        <v>4117077.3099999996</v>
      </c>
      <c r="T62" s="221">
        <f t="shared" si="12"/>
        <v>6833.3233360995846</v>
      </c>
      <c r="U62" s="221">
        <v>8106.16</v>
      </c>
      <c r="V62" s="27">
        <f t="shared" si="0"/>
        <v>0</v>
      </c>
      <c r="CR62" s="1"/>
    </row>
    <row r="63" spans="1:96" ht="35.25" x14ac:dyDescent="0.5">
      <c r="A63">
        <v>1</v>
      </c>
      <c r="B63" s="223">
        <f>SUBTOTAL(9,$A$16:A63)</f>
        <v>46</v>
      </c>
      <c r="C63" s="225" t="s">
        <v>115</v>
      </c>
      <c r="D63" s="216"/>
      <c r="E63" s="216">
        <v>1958</v>
      </c>
      <c r="F63" s="216" t="s">
        <v>419</v>
      </c>
      <c r="G63" s="216">
        <v>2</v>
      </c>
      <c r="H63" s="216" t="s">
        <v>317</v>
      </c>
      <c r="I63" s="217">
        <v>412.4</v>
      </c>
      <c r="J63" s="217">
        <v>412.4</v>
      </c>
      <c r="K63" s="218">
        <v>21</v>
      </c>
      <c r="L63" s="216" t="s">
        <v>417</v>
      </c>
      <c r="M63" s="216" t="s">
        <v>424</v>
      </c>
      <c r="N63" s="219" t="s">
        <v>425</v>
      </c>
      <c r="O63" s="221">
        <v>4444111.4800000004</v>
      </c>
      <c r="P63" s="221">
        <v>0</v>
      </c>
      <c r="Q63" s="221">
        <v>0</v>
      </c>
      <c r="R63" s="221">
        <v>0</v>
      </c>
      <c r="S63" s="221">
        <f t="shared" si="13"/>
        <v>4444111.4800000004</v>
      </c>
      <c r="T63" s="221">
        <f t="shared" si="12"/>
        <v>10776.21600387973</v>
      </c>
      <c r="U63" s="221">
        <v>10785.8</v>
      </c>
      <c r="V63" s="27">
        <f t="shared" si="0"/>
        <v>0</v>
      </c>
      <c r="CR63" s="1"/>
    </row>
    <row r="64" spans="1:96" ht="35.25" x14ac:dyDescent="0.5">
      <c r="A64">
        <v>1</v>
      </c>
      <c r="B64" s="223">
        <f>SUBTOTAL(9,$A$16:A64)</f>
        <v>47</v>
      </c>
      <c r="C64" s="225" t="s">
        <v>116</v>
      </c>
      <c r="D64" s="216"/>
      <c r="E64" s="216">
        <v>1962</v>
      </c>
      <c r="F64" s="216" t="s">
        <v>419</v>
      </c>
      <c r="G64" s="216">
        <v>2</v>
      </c>
      <c r="H64" s="216" t="s">
        <v>317</v>
      </c>
      <c r="I64" s="217">
        <v>314.60000000000002</v>
      </c>
      <c r="J64" s="217">
        <v>212.1</v>
      </c>
      <c r="K64" s="218">
        <v>19</v>
      </c>
      <c r="L64" s="216" t="s">
        <v>417</v>
      </c>
      <c r="M64" s="216" t="s">
        <v>424</v>
      </c>
      <c r="N64" s="219" t="s">
        <v>425</v>
      </c>
      <c r="O64" s="221">
        <v>3808352.9999999995</v>
      </c>
      <c r="P64" s="221">
        <v>0</v>
      </c>
      <c r="Q64" s="221">
        <v>0</v>
      </c>
      <c r="R64" s="221">
        <v>0</v>
      </c>
      <c r="S64" s="221">
        <f t="shared" si="13"/>
        <v>3808352.9999999995</v>
      </c>
      <c r="T64" s="221">
        <f t="shared" si="12"/>
        <v>12105.38143674507</v>
      </c>
      <c r="U64" s="221">
        <v>12333.14</v>
      </c>
      <c r="V64" s="27">
        <f t="shared" si="0"/>
        <v>0</v>
      </c>
      <c r="CR64" s="1"/>
    </row>
    <row r="65" spans="1:96" ht="35.25" x14ac:dyDescent="0.5">
      <c r="A65">
        <v>1</v>
      </c>
      <c r="B65" s="223">
        <f>SUBTOTAL(9,$A$16:A65)</f>
        <v>48</v>
      </c>
      <c r="C65" s="225" t="s">
        <v>117</v>
      </c>
      <c r="D65" s="216"/>
      <c r="E65" s="216">
        <v>1963</v>
      </c>
      <c r="F65" s="216" t="s">
        <v>419</v>
      </c>
      <c r="G65" s="216">
        <v>5</v>
      </c>
      <c r="H65" s="216" t="s">
        <v>326</v>
      </c>
      <c r="I65" s="217">
        <v>3912.1</v>
      </c>
      <c r="J65" s="217">
        <v>2728.5</v>
      </c>
      <c r="K65" s="218">
        <v>110</v>
      </c>
      <c r="L65" s="216" t="s">
        <v>417</v>
      </c>
      <c r="M65" s="216" t="s">
        <v>423</v>
      </c>
      <c r="N65" s="219" t="s">
        <v>427</v>
      </c>
      <c r="O65" s="221">
        <v>14671629.649999999</v>
      </c>
      <c r="P65" s="221">
        <v>0</v>
      </c>
      <c r="Q65" s="221">
        <v>0</v>
      </c>
      <c r="R65" s="221">
        <v>0</v>
      </c>
      <c r="S65" s="221">
        <f t="shared" si="13"/>
        <v>14671629.649999999</v>
      </c>
      <c r="T65" s="221">
        <f t="shared" si="12"/>
        <v>3750.3207101045473</v>
      </c>
      <c r="U65" s="221">
        <v>3851.47</v>
      </c>
      <c r="V65" s="27">
        <f t="shared" si="0"/>
        <v>0</v>
      </c>
      <c r="CR65" s="1"/>
    </row>
    <row r="66" spans="1:96" ht="35.25" x14ac:dyDescent="0.5">
      <c r="A66">
        <v>1</v>
      </c>
      <c r="B66" s="223">
        <f>SUBTOTAL(9,$A$16:A66)</f>
        <v>49</v>
      </c>
      <c r="C66" s="225" t="s">
        <v>118</v>
      </c>
      <c r="D66" s="216"/>
      <c r="E66" s="216">
        <v>1965</v>
      </c>
      <c r="F66" s="216" t="s">
        <v>419</v>
      </c>
      <c r="G66" s="216">
        <v>2</v>
      </c>
      <c r="H66" s="216" t="s">
        <v>317</v>
      </c>
      <c r="I66" s="217">
        <v>389.7</v>
      </c>
      <c r="J66" s="217">
        <v>389.7</v>
      </c>
      <c r="K66" s="218">
        <v>18</v>
      </c>
      <c r="L66" s="216" t="s">
        <v>417</v>
      </c>
      <c r="M66" s="216" t="s">
        <v>424</v>
      </c>
      <c r="N66" s="219" t="s">
        <v>425</v>
      </c>
      <c r="O66" s="221">
        <v>4528728.96</v>
      </c>
      <c r="P66" s="221">
        <v>0</v>
      </c>
      <c r="Q66" s="221">
        <v>0</v>
      </c>
      <c r="R66" s="221">
        <v>0</v>
      </c>
      <c r="S66" s="221">
        <f t="shared" si="13"/>
        <v>4528728.96</v>
      </c>
      <c r="T66" s="221">
        <f t="shared" si="12"/>
        <v>11621.064819091609</v>
      </c>
      <c r="U66" s="221">
        <v>13821.28</v>
      </c>
      <c r="V66" s="27">
        <f t="shared" si="0"/>
        <v>0</v>
      </c>
      <c r="CR66" s="1"/>
    </row>
    <row r="67" spans="1:96" ht="35.25" x14ac:dyDescent="0.5">
      <c r="A67">
        <v>1</v>
      </c>
      <c r="B67" s="223">
        <f>SUBTOTAL(9,$A$16:A67)</f>
        <v>50</v>
      </c>
      <c r="C67" s="225" t="s">
        <v>119</v>
      </c>
      <c r="D67" s="216"/>
      <c r="E67" s="216">
        <v>1965</v>
      </c>
      <c r="F67" s="216" t="s">
        <v>419</v>
      </c>
      <c r="G67" s="216">
        <v>5</v>
      </c>
      <c r="H67" s="216" t="s">
        <v>319</v>
      </c>
      <c r="I67" s="217">
        <v>1621.7</v>
      </c>
      <c r="J67" s="217">
        <v>1621.7</v>
      </c>
      <c r="K67" s="218">
        <v>64</v>
      </c>
      <c r="L67" s="216" t="s">
        <v>417</v>
      </c>
      <c r="M67" s="216" t="s">
        <v>423</v>
      </c>
      <c r="N67" s="219" t="s">
        <v>428</v>
      </c>
      <c r="O67" s="221">
        <v>8145221.3399999999</v>
      </c>
      <c r="P67" s="221">
        <v>0</v>
      </c>
      <c r="Q67" s="221">
        <v>0</v>
      </c>
      <c r="R67" s="221">
        <v>0</v>
      </c>
      <c r="S67" s="221">
        <f t="shared" si="13"/>
        <v>8145221.3399999999</v>
      </c>
      <c r="T67" s="221">
        <f t="shared" si="12"/>
        <v>5022.6437318862918</v>
      </c>
      <c r="U67" s="221">
        <v>5128.04</v>
      </c>
      <c r="V67" s="27">
        <f t="shared" si="0"/>
        <v>0</v>
      </c>
      <c r="CR67" s="1"/>
    </row>
    <row r="68" spans="1:96" ht="35.25" x14ac:dyDescent="0.5">
      <c r="A68">
        <v>1</v>
      </c>
      <c r="B68" s="223">
        <f>SUBTOTAL(9,$A$16:A68)</f>
        <v>51</v>
      </c>
      <c r="C68" s="225" t="s">
        <v>120</v>
      </c>
      <c r="D68" s="216"/>
      <c r="E68" s="216">
        <v>1958</v>
      </c>
      <c r="F68" s="216" t="s">
        <v>419</v>
      </c>
      <c r="G68" s="216">
        <v>2</v>
      </c>
      <c r="H68" s="216" t="s">
        <v>319</v>
      </c>
      <c r="I68" s="217">
        <v>606.5</v>
      </c>
      <c r="J68" s="217">
        <v>561.79999999999995</v>
      </c>
      <c r="K68" s="218">
        <v>42</v>
      </c>
      <c r="L68" s="216" t="s">
        <v>417</v>
      </c>
      <c r="M68" s="216" t="s">
        <v>424</v>
      </c>
      <c r="N68" s="219" t="s">
        <v>425</v>
      </c>
      <c r="O68" s="221">
        <v>10847083.830000002</v>
      </c>
      <c r="P68" s="221">
        <v>0</v>
      </c>
      <c r="Q68" s="221">
        <v>0</v>
      </c>
      <c r="R68" s="221">
        <v>0</v>
      </c>
      <c r="S68" s="221">
        <f t="shared" si="13"/>
        <v>10847083.830000002</v>
      </c>
      <c r="T68" s="221">
        <f t="shared" si="12"/>
        <v>17884.721896125313</v>
      </c>
      <c r="U68" s="221">
        <v>17969.662028029681</v>
      </c>
      <c r="V68" s="27">
        <f t="shared" si="0"/>
        <v>0</v>
      </c>
      <c r="CR68" s="1"/>
    </row>
    <row r="69" spans="1:96" ht="35.25" x14ac:dyDescent="0.5">
      <c r="A69">
        <v>1</v>
      </c>
      <c r="B69" s="223">
        <f>SUBTOTAL(9,$A$16:A69)</f>
        <v>52</v>
      </c>
      <c r="C69" s="225" t="s">
        <v>121</v>
      </c>
      <c r="D69" s="216"/>
      <c r="E69" s="216">
        <v>1962</v>
      </c>
      <c r="F69" s="216" t="s">
        <v>419</v>
      </c>
      <c r="G69" s="216">
        <v>5</v>
      </c>
      <c r="H69" s="216" t="s">
        <v>319</v>
      </c>
      <c r="I69" s="217">
        <v>1604.1</v>
      </c>
      <c r="J69" s="217">
        <v>1604.1000000000001</v>
      </c>
      <c r="K69" s="218">
        <v>48</v>
      </c>
      <c r="L69" s="216" t="s">
        <v>417</v>
      </c>
      <c r="M69" s="216" t="s">
        <v>423</v>
      </c>
      <c r="N69" s="219" t="s">
        <v>429</v>
      </c>
      <c r="O69" s="221">
        <v>7598488.4100000001</v>
      </c>
      <c r="P69" s="221">
        <v>0</v>
      </c>
      <c r="Q69" s="221">
        <v>0</v>
      </c>
      <c r="R69" s="221">
        <v>0</v>
      </c>
      <c r="S69" s="221">
        <f t="shared" si="13"/>
        <v>7598488.4100000001</v>
      </c>
      <c r="T69" s="221">
        <f t="shared" si="12"/>
        <v>4736.9169066766417</v>
      </c>
      <c r="U69" s="221">
        <v>4837.6099999999997</v>
      </c>
      <c r="V69" s="27">
        <f t="shared" si="0"/>
        <v>0</v>
      </c>
      <c r="CR69" s="1"/>
    </row>
    <row r="70" spans="1:96" ht="35.25" x14ac:dyDescent="0.5">
      <c r="A70">
        <v>1</v>
      </c>
      <c r="B70" s="223">
        <f>SUBTOTAL(9,$A$16:A70)</f>
        <v>53</v>
      </c>
      <c r="C70" s="225" t="s">
        <v>122</v>
      </c>
      <c r="D70" s="216"/>
      <c r="E70" s="216">
        <v>1958</v>
      </c>
      <c r="F70" s="216" t="s">
        <v>419</v>
      </c>
      <c r="G70" s="216">
        <v>2</v>
      </c>
      <c r="H70" s="216" t="s">
        <v>317</v>
      </c>
      <c r="I70" s="217">
        <v>426.2</v>
      </c>
      <c r="J70" s="217">
        <v>385.2</v>
      </c>
      <c r="K70" s="218">
        <v>13</v>
      </c>
      <c r="L70" s="216" t="s">
        <v>417</v>
      </c>
      <c r="M70" s="216" t="s">
        <v>424</v>
      </c>
      <c r="N70" s="219" t="s">
        <v>425</v>
      </c>
      <c r="O70" s="221">
        <v>4798398.3600000003</v>
      </c>
      <c r="P70" s="221">
        <v>0</v>
      </c>
      <c r="Q70" s="221">
        <v>0</v>
      </c>
      <c r="R70" s="221">
        <v>0</v>
      </c>
      <c r="S70" s="221">
        <f t="shared" si="13"/>
        <v>4798398.3600000003</v>
      </c>
      <c r="T70" s="221">
        <f t="shared" si="12"/>
        <v>11258.560206475833</v>
      </c>
      <c r="U70" s="221">
        <v>12638.33</v>
      </c>
      <c r="V70" s="27">
        <f t="shared" si="0"/>
        <v>0</v>
      </c>
      <c r="CR70" s="1"/>
    </row>
    <row r="71" spans="1:96" ht="35.25" x14ac:dyDescent="0.5">
      <c r="A71">
        <v>1</v>
      </c>
      <c r="B71" s="223">
        <f>SUBTOTAL(9,$A$16:A71)</f>
        <v>54</v>
      </c>
      <c r="C71" s="225" t="s">
        <v>599</v>
      </c>
      <c r="D71" s="216"/>
      <c r="E71" s="216">
        <v>1959</v>
      </c>
      <c r="F71" s="216" t="s">
        <v>419</v>
      </c>
      <c r="G71" s="216">
        <v>2</v>
      </c>
      <c r="H71" s="216">
        <v>1</v>
      </c>
      <c r="I71" s="217">
        <v>309.5</v>
      </c>
      <c r="J71" s="217">
        <v>286.89999999999998</v>
      </c>
      <c r="K71" s="218">
        <v>11</v>
      </c>
      <c r="L71" s="216" t="s">
        <v>417</v>
      </c>
      <c r="M71" s="216" t="s">
        <v>423</v>
      </c>
      <c r="N71" s="219" t="s">
        <v>431</v>
      </c>
      <c r="O71" s="221">
        <v>4662754.6700000009</v>
      </c>
      <c r="P71" s="221">
        <v>0</v>
      </c>
      <c r="Q71" s="221">
        <v>0</v>
      </c>
      <c r="R71" s="221">
        <v>0</v>
      </c>
      <c r="S71" s="221">
        <f t="shared" si="13"/>
        <v>4662754.6700000009</v>
      </c>
      <c r="T71" s="221">
        <f t="shared" si="12"/>
        <v>15065.443198707595</v>
      </c>
      <c r="U71" s="221">
        <v>15083.24</v>
      </c>
      <c r="V71" s="27">
        <f t="shared" si="0"/>
        <v>0</v>
      </c>
      <c r="CR71" s="1"/>
    </row>
    <row r="72" spans="1:96" ht="35.25" x14ac:dyDescent="0.5">
      <c r="A72">
        <v>1</v>
      </c>
      <c r="B72" s="223">
        <f>SUBTOTAL(9,$A$16:A72)</f>
        <v>55</v>
      </c>
      <c r="C72" s="225" t="s">
        <v>123</v>
      </c>
      <c r="D72" s="216"/>
      <c r="E72" s="216">
        <v>1966</v>
      </c>
      <c r="F72" s="216" t="s">
        <v>419</v>
      </c>
      <c r="G72" s="216">
        <v>5</v>
      </c>
      <c r="H72" s="216" t="s">
        <v>321</v>
      </c>
      <c r="I72" s="217">
        <v>4154.8999999999996</v>
      </c>
      <c r="J72" s="217">
        <v>3215.8</v>
      </c>
      <c r="K72" s="218">
        <v>147</v>
      </c>
      <c r="L72" s="216" t="s">
        <v>417</v>
      </c>
      <c r="M72" s="216" t="s">
        <v>423</v>
      </c>
      <c r="N72" s="219" t="s">
        <v>430</v>
      </c>
      <c r="O72" s="221">
        <v>4981985.8100000005</v>
      </c>
      <c r="P72" s="221">
        <v>0</v>
      </c>
      <c r="Q72" s="221">
        <v>0</v>
      </c>
      <c r="R72" s="221">
        <v>0</v>
      </c>
      <c r="S72" s="221">
        <f t="shared" si="13"/>
        <v>4981985.8100000005</v>
      </c>
      <c r="T72" s="221">
        <f t="shared" si="12"/>
        <v>1199.0627475992205</v>
      </c>
      <c r="U72" s="221">
        <v>1375.6</v>
      </c>
      <c r="V72" s="27">
        <f t="shared" si="0"/>
        <v>0</v>
      </c>
      <c r="CR72" s="1"/>
    </row>
    <row r="73" spans="1:96" ht="35.25" x14ac:dyDescent="0.5">
      <c r="A73">
        <v>1</v>
      </c>
      <c r="B73" s="223">
        <f>SUBTOTAL(9,$A$16:A73)</f>
        <v>56</v>
      </c>
      <c r="C73" s="226" t="s">
        <v>603</v>
      </c>
      <c r="D73" s="227" t="s">
        <v>421</v>
      </c>
      <c r="E73" s="216">
        <v>1937</v>
      </c>
      <c r="F73" s="216" t="s">
        <v>419</v>
      </c>
      <c r="G73" s="216" t="s">
        <v>321</v>
      </c>
      <c r="H73" s="216" t="s">
        <v>326</v>
      </c>
      <c r="I73" s="217">
        <v>1585.9</v>
      </c>
      <c r="J73" s="217">
        <v>1585.9</v>
      </c>
      <c r="K73" s="218">
        <v>36</v>
      </c>
      <c r="L73" s="216" t="s">
        <v>417</v>
      </c>
      <c r="M73" s="216" t="s">
        <v>424</v>
      </c>
      <c r="N73" s="219" t="s">
        <v>425</v>
      </c>
      <c r="O73" s="228">
        <v>6153634.2399999993</v>
      </c>
      <c r="P73" s="228">
        <v>0</v>
      </c>
      <c r="Q73" s="228">
        <v>0</v>
      </c>
      <c r="R73" s="228">
        <v>0</v>
      </c>
      <c r="S73" s="228">
        <f>O73-Q73-R73</f>
        <v>6153634.2399999993</v>
      </c>
      <c r="T73" s="235">
        <f>O73/I73</f>
        <v>3880.2158017529473</v>
      </c>
      <c r="U73" s="228">
        <v>14892.85</v>
      </c>
      <c r="V73" s="27">
        <f t="shared" si="0"/>
        <v>0</v>
      </c>
      <c r="W73" s="33"/>
      <c r="X73" s="33"/>
      <c r="Y73" s="33"/>
      <c r="Z73" s="33"/>
      <c r="AA73" s="34"/>
      <c r="AB73" s="1"/>
      <c r="AD73" s="35"/>
      <c r="BU73" s="1"/>
      <c r="CN73" s="1"/>
      <c r="CR73" s="1"/>
    </row>
    <row r="74" spans="1:96" ht="35.25" x14ac:dyDescent="0.5">
      <c r="A74">
        <v>1</v>
      </c>
      <c r="B74" s="223">
        <f>SUBTOTAL(9,$A$16:A74)</f>
        <v>57</v>
      </c>
      <c r="C74" s="226" t="s">
        <v>661</v>
      </c>
      <c r="D74" s="227"/>
      <c r="E74" s="216">
        <v>1972</v>
      </c>
      <c r="F74" s="216" t="s">
        <v>419</v>
      </c>
      <c r="G74" s="216">
        <v>5</v>
      </c>
      <c r="H74" s="216" t="s">
        <v>320</v>
      </c>
      <c r="I74" s="217">
        <v>6486.8</v>
      </c>
      <c r="J74" s="217">
        <v>6251.6</v>
      </c>
      <c r="K74" s="218">
        <v>253</v>
      </c>
      <c r="L74" s="216" t="s">
        <v>417</v>
      </c>
      <c r="M74" s="216" t="s">
        <v>423</v>
      </c>
      <c r="N74" s="219" t="s">
        <v>663</v>
      </c>
      <c r="O74" s="228">
        <v>21910638.309999999</v>
      </c>
      <c r="P74" s="228">
        <v>0</v>
      </c>
      <c r="Q74" s="228">
        <v>0</v>
      </c>
      <c r="R74" s="228">
        <v>0</v>
      </c>
      <c r="S74" s="228">
        <f t="shared" ref="S74" si="14">O74-Q74-R74</f>
        <v>21910638.309999999</v>
      </c>
      <c r="T74" s="235">
        <f t="shared" ref="T74" si="15">O74/I74</f>
        <v>3377.7268159955597</v>
      </c>
      <c r="U74" s="228">
        <v>4022.94</v>
      </c>
      <c r="V74" s="27">
        <f t="shared" si="0"/>
        <v>0</v>
      </c>
      <c r="W74" s="33"/>
      <c r="X74" s="33"/>
      <c r="Y74" s="33"/>
      <c r="Z74" s="33"/>
      <c r="AA74" s="34"/>
      <c r="AB74" s="1"/>
      <c r="AD74" s="35"/>
      <c r="BU74" s="1"/>
      <c r="CN74" s="1"/>
      <c r="CR74" s="1"/>
    </row>
    <row r="75" spans="1:96" ht="35.25" x14ac:dyDescent="0.5">
      <c r="A75">
        <v>1</v>
      </c>
      <c r="B75" s="223">
        <f>SUBTOTAL(9,$A$16:A75)</f>
        <v>58</v>
      </c>
      <c r="C75" s="226" t="s">
        <v>715</v>
      </c>
      <c r="D75" s="227"/>
      <c r="E75" s="216">
        <v>1973</v>
      </c>
      <c r="F75" s="216" t="s">
        <v>419</v>
      </c>
      <c r="G75" s="216">
        <v>5</v>
      </c>
      <c r="H75" s="216">
        <v>1</v>
      </c>
      <c r="I75" s="217">
        <v>4711.6000000000004</v>
      </c>
      <c r="J75" s="217">
        <v>2267.09</v>
      </c>
      <c r="K75" s="218">
        <v>320</v>
      </c>
      <c r="L75" s="216" t="s">
        <v>417</v>
      </c>
      <c r="M75" s="216" t="s">
        <v>424</v>
      </c>
      <c r="N75" s="219" t="s">
        <v>425</v>
      </c>
      <c r="O75" s="228">
        <v>19354588.330000002</v>
      </c>
      <c r="P75" s="228">
        <v>0</v>
      </c>
      <c r="Q75" s="228">
        <v>0</v>
      </c>
      <c r="R75" s="228">
        <v>0</v>
      </c>
      <c r="S75" s="228">
        <f t="shared" ref="S75" si="16">O75-Q75-R75</f>
        <v>19354588.330000002</v>
      </c>
      <c r="T75" s="235">
        <f t="shared" ref="T75" si="17">O75/I75</f>
        <v>4107.8589714746586</v>
      </c>
      <c r="U75" s="228">
        <v>4133.07</v>
      </c>
      <c r="V75" s="27">
        <f t="shared" si="0"/>
        <v>0</v>
      </c>
      <c r="W75" s="36"/>
      <c r="X75" s="36"/>
      <c r="Y75" s="36"/>
      <c r="Z75" s="36"/>
      <c r="AA75" s="34"/>
      <c r="AB75" s="1"/>
      <c r="AD75" s="37"/>
      <c r="BU75" s="1"/>
      <c r="CN75" s="1"/>
      <c r="CR75" s="1"/>
    </row>
    <row r="76" spans="1:96" ht="35.25" x14ac:dyDescent="0.5">
      <c r="B76" s="236" t="s">
        <v>471</v>
      </c>
      <c r="C76" s="236"/>
      <c r="D76" s="216" t="s">
        <v>422</v>
      </c>
      <c r="E76" s="216" t="s">
        <v>422</v>
      </c>
      <c r="F76" s="216" t="s">
        <v>422</v>
      </c>
      <c r="G76" s="216" t="s">
        <v>422</v>
      </c>
      <c r="H76" s="216" t="s">
        <v>422</v>
      </c>
      <c r="I76" s="217">
        <f>SUM(I77:I85)</f>
        <v>32835.410000000003</v>
      </c>
      <c r="J76" s="217">
        <f>SUM(J77:J85)</f>
        <v>25853.360000000001</v>
      </c>
      <c r="K76" s="218">
        <f>SUM(K77:K85)</f>
        <v>1177</v>
      </c>
      <c r="L76" s="216" t="s">
        <v>422</v>
      </c>
      <c r="M76" s="216" t="s">
        <v>422</v>
      </c>
      <c r="N76" s="219" t="s">
        <v>422</v>
      </c>
      <c r="O76" s="221">
        <f>SUM(O77:O85)</f>
        <v>74891227.419999987</v>
      </c>
      <c r="P76" s="221">
        <f t="shared" ref="P76:S76" si="18">SUM(P77:P85)</f>
        <v>0</v>
      </c>
      <c r="Q76" s="221">
        <f t="shared" si="18"/>
        <v>0</v>
      </c>
      <c r="R76" s="221">
        <f t="shared" si="18"/>
        <v>0</v>
      </c>
      <c r="S76" s="221">
        <f t="shared" si="18"/>
        <v>74891227.419999987</v>
      </c>
      <c r="T76" s="221">
        <f t="shared" si="12"/>
        <v>2280.8068307963867</v>
      </c>
      <c r="U76" s="221">
        <f>MAX(U77:U85)</f>
        <v>17296.64</v>
      </c>
      <c r="V76" s="27">
        <f t="shared" si="0"/>
        <v>0</v>
      </c>
      <c r="CR76" s="1"/>
    </row>
    <row r="77" spans="1:96" s="30" customFormat="1" ht="70.5" x14ac:dyDescent="0.4">
      <c r="A77" s="30">
        <v>1</v>
      </c>
      <c r="B77" s="230">
        <f>SUBTOTAL(9,$A$16:A77)</f>
        <v>59</v>
      </c>
      <c r="C77" s="225" t="s">
        <v>399</v>
      </c>
      <c r="D77" s="230" t="s">
        <v>421</v>
      </c>
      <c r="E77" s="230">
        <v>1846</v>
      </c>
      <c r="F77" s="230" t="s">
        <v>419</v>
      </c>
      <c r="G77" s="230">
        <v>2</v>
      </c>
      <c r="H77" s="230" t="s">
        <v>317</v>
      </c>
      <c r="I77" s="231">
        <v>378.89</v>
      </c>
      <c r="J77" s="231">
        <v>325.39999999999998</v>
      </c>
      <c r="K77" s="232">
        <v>6</v>
      </c>
      <c r="L77" s="230" t="s">
        <v>417</v>
      </c>
      <c r="M77" s="230" t="s">
        <v>423</v>
      </c>
      <c r="N77" s="233" t="s">
        <v>474</v>
      </c>
      <c r="O77" s="234">
        <v>6620552.04</v>
      </c>
      <c r="P77" s="234">
        <v>0</v>
      </c>
      <c r="Q77" s="234">
        <v>0</v>
      </c>
      <c r="R77" s="234">
        <v>0</v>
      </c>
      <c r="S77" s="234">
        <f t="shared" si="13"/>
        <v>6620552.04</v>
      </c>
      <c r="T77" s="234">
        <f t="shared" si="12"/>
        <v>17473.546517458894</v>
      </c>
      <c r="U77" s="234">
        <v>17296.64</v>
      </c>
      <c r="V77" s="27">
        <f t="shared" si="0"/>
        <v>0</v>
      </c>
      <c r="CR77" s="32"/>
    </row>
    <row r="78" spans="1:96" s="30" customFormat="1" ht="35.25" x14ac:dyDescent="0.4">
      <c r="A78">
        <v>1</v>
      </c>
      <c r="B78" s="223">
        <f>SUBTOTAL(9,$A$16:A78)</f>
        <v>60</v>
      </c>
      <c r="C78" s="225" t="s">
        <v>390</v>
      </c>
      <c r="D78" s="237"/>
      <c r="E78" s="230">
        <v>1960</v>
      </c>
      <c r="F78" s="230" t="s">
        <v>419</v>
      </c>
      <c r="G78" s="230">
        <v>3</v>
      </c>
      <c r="H78" s="230" t="s">
        <v>326</v>
      </c>
      <c r="I78" s="231">
        <v>1525.7</v>
      </c>
      <c r="J78" s="231">
        <v>1013</v>
      </c>
      <c r="K78" s="232">
        <v>36</v>
      </c>
      <c r="L78" s="230" t="s">
        <v>417</v>
      </c>
      <c r="M78" s="230" t="s">
        <v>423</v>
      </c>
      <c r="N78" s="233" t="s">
        <v>475</v>
      </c>
      <c r="O78" s="234">
        <v>5434418.2299999995</v>
      </c>
      <c r="P78" s="234">
        <v>0</v>
      </c>
      <c r="Q78" s="234">
        <v>0</v>
      </c>
      <c r="R78" s="234">
        <v>0</v>
      </c>
      <c r="S78" s="234">
        <f t="shared" si="13"/>
        <v>5434418.2299999995</v>
      </c>
      <c r="T78" s="234">
        <f t="shared" si="12"/>
        <v>3561.9179589696528</v>
      </c>
      <c r="U78" s="234">
        <v>6637.49</v>
      </c>
      <c r="V78" s="27">
        <f t="shared" ref="V78:V141" si="19">O78-P78-Q78-R78-S78</f>
        <v>0</v>
      </c>
      <c r="CR78" s="32"/>
    </row>
    <row r="79" spans="1:96" s="30" customFormat="1" ht="35.25" x14ac:dyDescent="0.4">
      <c r="A79">
        <v>1</v>
      </c>
      <c r="B79" s="223">
        <f>SUBTOTAL(9,$A$16:A79)</f>
        <v>61</v>
      </c>
      <c r="C79" s="225" t="s">
        <v>407</v>
      </c>
      <c r="D79" s="237"/>
      <c r="E79" s="230">
        <v>1998</v>
      </c>
      <c r="F79" s="230" t="s">
        <v>420</v>
      </c>
      <c r="G79" s="230">
        <v>9</v>
      </c>
      <c r="H79" s="230" t="s">
        <v>334</v>
      </c>
      <c r="I79" s="231">
        <v>12237.2</v>
      </c>
      <c r="J79" s="231">
        <v>9642.2000000000007</v>
      </c>
      <c r="K79" s="232">
        <v>468</v>
      </c>
      <c r="L79" s="230" t="s">
        <v>417</v>
      </c>
      <c r="M79" s="230" t="s">
        <v>423</v>
      </c>
      <c r="N79" s="233" t="s">
        <v>476</v>
      </c>
      <c r="O79" s="234">
        <v>7326373.25</v>
      </c>
      <c r="P79" s="234">
        <v>0</v>
      </c>
      <c r="Q79" s="234">
        <v>0</v>
      </c>
      <c r="R79" s="234">
        <v>0</v>
      </c>
      <c r="S79" s="234">
        <f t="shared" si="13"/>
        <v>7326373.25</v>
      </c>
      <c r="T79" s="234">
        <f t="shared" si="12"/>
        <v>598.69686284444151</v>
      </c>
      <c r="U79" s="234">
        <v>680.43</v>
      </c>
      <c r="V79" s="27">
        <f t="shared" si="19"/>
        <v>0</v>
      </c>
      <c r="CR79" s="32"/>
    </row>
    <row r="80" spans="1:96" s="30" customFormat="1" ht="35.25" x14ac:dyDescent="0.4">
      <c r="A80">
        <v>1</v>
      </c>
      <c r="B80" s="223">
        <f>SUBTOTAL(9,$A$16:A80)</f>
        <v>62</v>
      </c>
      <c r="C80" s="225" t="s">
        <v>384</v>
      </c>
      <c r="D80" s="237"/>
      <c r="E80" s="230">
        <v>1961</v>
      </c>
      <c r="F80" s="230" t="s">
        <v>419</v>
      </c>
      <c r="G80" s="230">
        <v>3</v>
      </c>
      <c r="H80" s="230" t="s">
        <v>319</v>
      </c>
      <c r="I80" s="231">
        <v>958.2</v>
      </c>
      <c r="J80" s="231">
        <v>958.2</v>
      </c>
      <c r="K80" s="232">
        <v>42</v>
      </c>
      <c r="L80" s="230" t="s">
        <v>417</v>
      </c>
      <c r="M80" s="230" t="s">
        <v>423</v>
      </c>
      <c r="N80" s="233" t="s">
        <v>477</v>
      </c>
      <c r="O80" s="234">
        <v>5986465.3200000003</v>
      </c>
      <c r="P80" s="234">
        <v>0</v>
      </c>
      <c r="Q80" s="234">
        <v>0</v>
      </c>
      <c r="R80" s="234">
        <v>0</v>
      </c>
      <c r="S80" s="234">
        <f t="shared" si="13"/>
        <v>5986465.3200000003</v>
      </c>
      <c r="T80" s="234">
        <f t="shared" si="12"/>
        <v>6247.6156543519101</v>
      </c>
      <c r="U80" s="234">
        <v>7816.02</v>
      </c>
      <c r="V80" s="27">
        <f t="shared" si="19"/>
        <v>0</v>
      </c>
      <c r="CR80" s="32"/>
    </row>
    <row r="81" spans="1:96" s="30" customFormat="1" ht="35.25" x14ac:dyDescent="0.4">
      <c r="A81">
        <v>1</v>
      </c>
      <c r="B81" s="223">
        <f>SUBTOTAL(9,$A$16:A81)</f>
        <v>63</v>
      </c>
      <c r="C81" s="225" t="s">
        <v>404</v>
      </c>
      <c r="D81" s="237"/>
      <c r="E81" s="230">
        <v>1998</v>
      </c>
      <c r="F81" s="230" t="s">
        <v>419</v>
      </c>
      <c r="G81" s="230">
        <v>9</v>
      </c>
      <c r="H81" s="230" t="s">
        <v>326</v>
      </c>
      <c r="I81" s="231">
        <v>7039.8</v>
      </c>
      <c r="J81" s="231">
        <v>6369.3</v>
      </c>
      <c r="K81" s="232">
        <v>304</v>
      </c>
      <c r="L81" s="230" t="s">
        <v>417</v>
      </c>
      <c r="M81" s="230" t="s">
        <v>423</v>
      </c>
      <c r="N81" s="233" t="s">
        <v>478</v>
      </c>
      <c r="O81" s="234">
        <v>11324525.039999999</v>
      </c>
      <c r="P81" s="234">
        <v>0</v>
      </c>
      <c r="Q81" s="234">
        <v>0</v>
      </c>
      <c r="R81" s="234">
        <v>0</v>
      </c>
      <c r="S81" s="234">
        <f t="shared" si="13"/>
        <v>11324525.039999999</v>
      </c>
      <c r="T81" s="234">
        <f t="shared" si="12"/>
        <v>1608.6430069036051</v>
      </c>
      <c r="U81" s="234">
        <v>1774.18</v>
      </c>
      <c r="V81" s="27">
        <f t="shared" si="19"/>
        <v>0</v>
      </c>
      <c r="CR81" s="32"/>
    </row>
    <row r="82" spans="1:96" s="30" customFormat="1" ht="35.25" x14ac:dyDescent="0.4">
      <c r="A82">
        <v>1</v>
      </c>
      <c r="B82" s="223">
        <f>SUBTOTAL(9,$A$16:A82)</f>
        <v>64</v>
      </c>
      <c r="C82" s="225" t="s">
        <v>406</v>
      </c>
      <c r="D82" s="237"/>
      <c r="E82" s="230">
        <v>1968</v>
      </c>
      <c r="F82" s="230" t="s">
        <v>419</v>
      </c>
      <c r="G82" s="230">
        <v>5</v>
      </c>
      <c r="H82" s="230" t="s">
        <v>323</v>
      </c>
      <c r="I82" s="231">
        <v>6972.26</v>
      </c>
      <c r="J82" s="231">
        <v>4567.2</v>
      </c>
      <c r="K82" s="232">
        <v>191</v>
      </c>
      <c r="L82" s="230" t="s">
        <v>417</v>
      </c>
      <c r="M82" s="230" t="s">
        <v>423</v>
      </c>
      <c r="N82" s="233" t="s">
        <v>477</v>
      </c>
      <c r="O82" s="234">
        <v>17863055.02</v>
      </c>
      <c r="P82" s="234">
        <v>0</v>
      </c>
      <c r="Q82" s="234">
        <v>0</v>
      </c>
      <c r="R82" s="234">
        <v>0</v>
      </c>
      <c r="S82" s="234">
        <f t="shared" si="13"/>
        <v>17863055.02</v>
      </c>
      <c r="T82" s="234">
        <f t="shared" si="12"/>
        <v>2562.0179138471599</v>
      </c>
      <c r="U82" s="234">
        <v>2834.4</v>
      </c>
      <c r="V82" s="27">
        <f t="shared" si="19"/>
        <v>0</v>
      </c>
      <c r="CR82" s="32"/>
    </row>
    <row r="83" spans="1:96" s="30" customFormat="1" ht="35.25" x14ac:dyDescent="0.4">
      <c r="A83">
        <v>1</v>
      </c>
      <c r="B83" s="223">
        <f>SUBTOTAL(9,$A$16:A83)</f>
        <v>65</v>
      </c>
      <c r="C83" s="225" t="s">
        <v>396</v>
      </c>
      <c r="D83" s="237"/>
      <c r="E83" s="230">
        <v>1964</v>
      </c>
      <c r="F83" s="230" t="s">
        <v>419</v>
      </c>
      <c r="G83" s="230">
        <v>4</v>
      </c>
      <c r="H83" s="230" t="s">
        <v>326</v>
      </c>
      <c r="I83" s="231">
        <v>2740.1</v>
      </c>
      <c r="J83" s="231">
        <v>2056.6</v>
      </c>
      <c r="K83" s="232">
        <v>92</v>
      </c>
      <c r="L83" s="230" t="s">
        <v>417</v>
      </c>
      <c r="M83" s="230" t="s">
        <v>423</v>
      </c>
      <c r="N83" s="233" t="s">
        <v>479</v>
      </c>
      <c r="O83" s="234">
        <v>8786758.1399999987</v>
      </c>
      <c r="P83" s="234">
        <v>0</v>
      </c>
      <c r="Q83" s="234">
        <v>0</v>
      </c>
      <c r="R83" s="234">
        <v>0</v>
      </c>
      <c r="S83" s="234">
        <f t="shared" si="13"/>
        <v>8786758.1399999987</v>
      </c>
      <c r="T83" s="234">
        <f t="shared" si="12"/>
        <v>3206.7290025911461</v>
      </c>
      <c r="U83" s="234">
        <v>4153.63</v>
      </c>
      <c r="V83" s="27">
        <f t="shared" si="19"/>
        <v>0</v>
      </c>
      <c r="CR83" s="32"/>
    </row>
    <row r="84" spans="1:96" s="30" customFormat="1" ht="35.25" x14ac:dyDescent="0.4">
      <c r="A84">
        <v>1</v>
      </c>
      <c r="B84" s="223">
        <f>SUBTOTAL(9,$A$16:A84)</f>
        <v>66</v>
      </c>
      <c r="C84" s="225" t="s">
        <v>391</v>
      </c>
      <c r="D84" s="237"/>
      <c r="E84" s="230">
        <v>1963</v>
      </c>
      <c r="F84" s="230" t="s">
        <v>419</v>
      </c>
      <c r="G84" s="230">
        <v>2</v>
      </c>
      <c r="H84" s="230" t="s">
        <v>319</v>
      </c>
      <c r="I84" s="231">
        <v>372.86</v>
      </c>
      <c r="J84" s="231">
        <v>372.86</v>
      </c>
      <c r="K84" s="232">
        <v>16</v>
      </c>
      <c r="L84" s="230" t="s">
        <v>417</v>
      </c>
      <c r="M84" s="230" t="s">
        <v>424</v>
      </c>
      <c r="N84" s="233" t="s">
        <v>425</v>
      </c>
      <c r="O84" s="234">
        <v>5572149.7699999996</v>
      </c>
      <c r="P84" s="234">
        <v>0</v>
      </c>
      <c r="Q84" s="234">
        <v>0</v>
      </c>
      <c r="R84" s="234">
        <v>0</v>
      </c>
      <c r="S84" s="234">
        <f t="shared" si="13"/>
        <v>5572149.7699999996</v>
      </c>
      <c r="T84" s="234">
        <f t="shared" si="12"/>
        <v>14944.348468594109</v>
      </c>
      <c r="U84" s="234">
        <v>16649.7</v>
      </c>
      <c r="V84" s="27">
        <f t="shared" si="19"/>
        <v>0</v>
      </c>
      <c r="CR84" s="32"/>
    </row>
    <row r="85" spans="1:96" s="30" customFormat="1" ht="35.25" x14ac:dyDescent="0.4">
      <c r="A85">
        <v>1</v>
      </c>
      <c r="B85" s="223">
        <f>SUBTOTAL(9,$A$16:A85)</f>
        <v>67</v>
      </c>
      <c r="C85" s="225" t="s">
        <v>408</v>
      </c>
      <c r="D85" s="237"/>
      <c r="E85" s="230">
        <v>1990</v>
      </c>
      <c r="F85" s="230" t="s">
        <v>419</v>
      </c>
      <c r="G85" s="230">
        <v>2</v>
      </c>
      <c r="H85" s="230" t="s">
        <v>319</v>
      </c>
      <c r="I85" s="231">
        <v>610.4</v>
      </c>
      <c r="J85" s="231">
        <v>548.6</v>
      </c>
      <c r="K85" s="232">
        <v>22</v>
      </c>
      <c r="L85" s="230" t="s">
        <v>417</v>
      </c>
      <c r="M85" s="230" t="s">
        <v>424</v>
      </c>
      <c r="N85" s="233" t="s">
        <v>425</v>
      </c>
      <c r="O85" s="234">
        <v>5976930.6099999994</v>
      </c>
      <c r="P85" s="234">
        <v>0</v>
      </c>
      <c r="Q85" s="234">
        <v>0</v>
      </c>
      <c r="R85" s="234">
        <v>0</v>
      </c>
      <c r="S85" s="234">
        <f t="shared" si="13"/>
        <v>5976930.6099999994</v>
      </c>
      <c r="T85" s="234">
        <f t="shared" si="12"/>
        <v>9791.8260321100915</v>
      </c>
      <c r="U85" s="234">
        <v>11865.46</v>
      </c>
      <c r="V85" s="27">
        <f t="shared" si="19"/>
        <v>0</v>
      </c>
      <c r="CR85" s="32"/>
    </row>
    <row r="86" spans="1:96" ht="35.25" x14ac:dyDescent="0.5">
      <c r="B86" s="215" t="s">
        <v>415</v>
      </c>
      <c r="C86" s="222"/>
      <c r="D86" s="216" t="s">
        <v>422</v>
      </c>
      <c r="E86" s="216" t="s">
        <v>422</v>
      </c>
      <c r="F86" s="216" t="s">
        <v>422</v>
      </c>
      <c r="G86" s="216" t="s">
        <v>422</v>
      </c>
      <c r="H86" s="216" t="s">
        <v>422</v>
      </c>
      <c r="I86" s="217">
        <f>I87</f>
        <v>6726.7</v>
      </c>
      <c r="J86" s="217">
        <f t="shared" ref="J86:K86" si="20">J87</f>
        <v>3903</v>
      </c>
      <c r="K86" s="218">
        <f t="shared" si="20"/>
        <v>181</v>
      </c>
      <c r="L86" s="216" t="s">
        <v>422</v>
      </c>
      <c r="M86" s="216" t="s">
        <v>422</v>
      </c>
      <c r="N86" s="219" t="s">
        <v>422</v>
      </c>
      <c r="O86" s="221">
        <v>15284190.040000001</v>
      </c>
      <c r="P86" s="221">
        <f t="shared" ref="P86:S86" si="21">P87</f>
        <v>0</v>
      </c>
      <c r="Q86" s="221">
        <f t="shared" si="21"/>
        <v>0</v>
      </c>
      <c r="R86" s="221">
        <f t="shared" si="21"/>
        <v>0</v>
      </c>
      <c r="S86" s="221">
        <f t="shared" si="21"/>
        <v>15284190.040000001</v>
      </c>
      <c r="T86" s="221">
        <f t="shared" si="12"/>
        <v>2272.1676364339128</v>
      </c>
      <c r="U86" s="221">
        <v>2314.917180787013</v>
      </c>
      <c r="V86" s="27">
        <f t="shared" si="19"/>
        <v>0</v>
      </c>
      <c r="CR86" s="1"/>
    </row>
    <row r="87" spans="1:96" ht="35.25" x14ac:dyDescent="0.5">
      <c r="A87">
        <v>1</v>
      </c>
      <c r="B87" s="223">
        <f>SUBTOTAL(9,$A$16:A87)</f>
        <v>68</v>
      </c>
      <c r="C87" s="225" t="s">
        <v>153</v>
      </c>
      <c r="D87" s="216"/>
      <c r="E87" s="216">
        <v>1991</v>
      </c>
      <c r="F87" s="216" t="s">
        <v>420</v>
      </c>
      <c r="G87" s="216">
        <v>5</v>
      </c>
      <c r="H87" s="216" t="s">
        <v>334</v>
      </c>
      <c r="I87" s="217">
        <v>6726.7</v>
      </c>
      <c r="J87" s="217">
        <v>3903</v>
      </c>
      <c r="K87" s="218">
        <v>181</v>
      </c>
      <c r="L87" s="216" t="s">
        <v>417</v>
      </c>
      <c r="M87" s="216" t="s">
        <v>423</v>
      </c>
      <c r="N87" s="219" t="s">
        <v>436</v>
      </c>
      <c r="O87" s="221">
        <v>15284190.040000001</v>
      </c>
      <c r="P87" s="221">
        <v>0</v>
      </c>
      <c r="Q87" s="221">
        <v>0</v>
      </c>
      <c r="R87" s="221">
        <v>0</v>
      </c>
      <c r="S87" s="221">
        <f>O87-P87-Q87-R87</f>
        <v>15284190.040000001</v>
      </c>
      <c r="T87" s="221">
        <f t="shared" si="12"/>
        <v>2272.1676364339128</v>
      </c>
      <c r="U87" s="221">
        <v>2314.92</v>
      </c>
      <c r="V87" s="27">
        <f t="shared" si="19"/>
        <v>0</v>
      </c>
      <c r="CR87" s="1"/>
    </row>
    <row r="88" spans="1:96" ht="35.25" x14ac:dyDescent="0.5">
      <c r="B88" s="215" t="s">
        <v>676</v>
      </c>
      <c r="C88" s="236"/>
      <c r="D88" s="216" t="s">
        <v>422</v>
      </c>
      <c r="E88" s="216" t="s">
        <v>422</v>
      </c>
      <c r="F88" s="216" t="s">
        <v>422</v>
      </c>
      <c r="G88" s="216" t="s">
        <v>422</v>
      </c>
      <c r="H88" s="216" t="s">
        <v>422</v>
      </c>
      <c r="I88" s="217">
        <f>SUM(I89:I102)</f>
        <v>47954.69</v>
      </c>
      <c r="J88" s="217">
        <f t="shared" ref="J88:K88" si="22">SUM(J89:J102)</f>
        <v>35635.640000000007</v>
      </c>
      <c r="K88" s="218">
        <f t="shared" si="22"/>
        <v>1706</v>
      </c>
      <c r="L88" s="216" t="s">
        <v>422</v>
      </c>
      <c r="M88" s="216" t="s">
        <v>422</v>
      </c>
      <c r="N88" s="219" t="s">
        <v>422</v>
      </c>
      <c r="O88" s="221">
        <f>SUM(O89:O102)</f>
        <v>179194506.43000004</v>
      </c>
      <c r="P88" s="221">
        <f t="shared" ref="P88:S88" si="23">SUM(P89:P102)</f>
        <v>0</v>
      </c>
      <c r="Q88" s="221">
        <f t="shared" si="23"/>
        <v>0</v>
      </c>
      <c r="R88" s="221">
        <f t="shared" si="23"/>
        <v>0</v>
      </c>
      <c r="S88" s="221">
        <f t="shared" si="23"/>
        <v>179194506.43000004</v>
      </c>
      <c r="T88" s="221">
        <f t="shared" si="12"/>
        <v>3736.7462166891296</v>
      </c>
      <c r="U88" s="221">
        <f>MAX(U89:U102)</f>
        <v>13685.11</v>
      </c>
      <c r="V88" s="27">
        <f t="shared" si="19"/>
        <v>0</v>
      </c>
      <c r="CR88" s="1"/>
    </row>
    <row r="89" spans="1:96" ht="35.25" x14ac:dyDescent="0.5">
      <c r="A89">
        <v>1</v>
      </c>
      <c r="B89" s="223">
        <f>SUBTOTAL(9,$A$16:A89)</f>
        <v>69</v>
      </c>
      <c r="C89" s="225" t="s">
        <v>322</v>
      </c>
      <c r="D89" s="238"/>
      <c r="E89" s="216">
        <v>1982</v>
      </c>
      <c r="F89" s="216" t="s">
        <v>419</v>
      </c>
      <c r="G89" s="216">
        <v>9</v>
      </c>
      <c r="H89" s="216" t="s">
        <v>319</v>
      </c>
      <c r="I89" s="217">
        <v>7241.3</v>
      </c>
      <c r="J89" s="217">
        <v>5410.4</v>
      </c>
      <c r="K89" s="218">
        <v>216</v>
      </c>
      <c r="L89" s="216" t="s">
        <v>417</v>
      </c>
      <c r="M89" s="216" t="s">
        <v>423</v>
      </c>
      <c r="N89" s="219" t="s">
        <v>491</v>
      </c>
      <c r="O89" s="221">
        <v>10346680</v>
      </c>
      <c r="P89" s="221">
        <v>0</v>
      </c>
      <c r="Q89" s="221">
        <v>0</v>
      </c>
      <c r="R89" s="221">
        <v>0</v>
      </c>
      <c r="S89" s="221">
        <f t="shared" ref="S89:S95" si="24">O89-P89-Q89-R89</f>
        <v>10346680</v>
      </c>
      <c r="T89" s="221">
        <f t="shared" si="12"/>
        <v>1428.8428873268613</v>
      </c>
      <c r="U89" s="221">
        <v>1428.84</v>
      </c>
      <c r="V89" s="27">
        <f t="shared" si="19"/>
        <v>0</v>
      </c>
      <c r="CR89" s="1"/>
    </row>
    <row r="90" spans="1:96" ht="35.25" x14ac:dyDescent="0.5">
      <c r="A90">
        <v>1</v>
      </c>
      <c r="B90" s="223">
        <f>SUBTOTAL(9,$A$16:A90)</f>
        <v>70</v>
      </c>
      <c r="C90" s="225" t="s">
        <v>347</v>
      </c>
      <c r="D90" s="238"/>
      <c r="E90" s="216">
        <v>1994</v>
      </c>
      <c r="F90" s="216" t="s">
        <v>420</v>
      </c>
      <c r="G90" s="216">
        <v>5</v>
      </c>
      <c r="H90" s="216" t="s">
        <v>326</v>
      </c>
      <c r="I90" s="217">
        <v>4752.7</v>
      </c>
      <c r="J90" s="217">
        <v>3543.2</v>
      </c>
      <c r="K90" s="218">
        <v>166</v>
      </c>
      <c r="L90" s="216" t="s">
        <v>417</v>
      </c>
      <c r="M90" s="216" t="s">
        <v>423</v>
      </c>
      <c r="N90" s="219" t="s">
        <v>492</v>
      </c>
      <c r="O90" s="221">
        <v>14545369.560000001</v>
      </c>
      <c r="P90" s="221">
        <v>0</v>
      </c>
      <c r="Q90" s="221">
        <v>0</v>
      </c>
      <c r="R90" s="221">
        <v>0</v>
      </c>
      <c r="S90" s="221">
        <f t="shared" si="24"/>
        <v>14545369.560000001</v>
      </c>
      <c r="T90" s="221">
        <f t="shared" si="12"/>
        <v>3060.4434447787576</v>
      </c>
      <c r="U90" s="221">
        <v>3118.02</v>
      </c>
      <c r="V90" s="27">
        <f t="shared" si="19"/>
        <v>0</v>
      </c>
      <c r="CR90" s="1"/>
    </row>
    <row r="91" spans="1:96" ht="35.25" x14ac:dyDescent="0.5">
      <c r="A91">
        <v>1</v>
      </c>
      <c r="B91" s="223">
        <f>SUBTOTAL(9,$A$16:A91)</f>
        <v>71</v>
      </c>
      <c r="C91" s="225" t="s">
        <v>346</v>
      </c>
      <c r="D91" s="238"/>
      <c r="E91" s="216">
        <v>1987</v>
      </c>
      <c r="F91" s="216" t="s">
        <v>420</v>
      </c>
      <c r="G91" s="216">
        <v>5</v>
      </c>
      <c r="H91" s="216" t="s">
        <v>321</v>
      </c>
      <c r="I91" s="217">
        <v>3190.1</v>
      </c>
      <c r="J91" s="217">
        <v>2832.5</v>
      </c>
      <c r="K91" s="218">
        <v>125</v>
      </c>
      <c r="L91" s="216" t="s">
        <v>417</v>
      </c>
      <c r="M91" s="216" t="s">
        <v>423</v>
      </c>
      <c r="N91" s="219" t="s">
        <v>493</v>
      </c>
      <c r="O91" s="221">
        <v>15753886.91</v>
      </c>
      <c r="P91" s="221">
        <v>0</v>
      </c>
      <c r="Q91" s="221">
        <v>0</v>
      </c>
      <c r="R91" s="221">
        <v>0</v>
      </c>
      <c r="S91" s="221">
        <f t="shared" si="24"/>
        <v>15753886.91</v>
      </c>
      <c r="T91" s="221">
        <f t="shared" si="12"/>
        <v>4938.3677345537762</v>
      </c>
      <c r="U91" s="221">
        <v>5031.28</v>
      </c>
      <c r="V91" s="27">
        <f t="shared" si="19"/>
        <v>0</v>
      </c>
      <c r="CR91" s="1"/>
    </row>
    <row r="92" spans="1:96" ht="35.25" x14ac:dyDescent="0.5">
      <c r="A92">
        <v>1</v>
      </c>
      <c r="B92" s="223">
        <f>SUBTOTAL(9,$A$16:A92)</f>
        <v>72</v>
      </c>
      <c r="C92" s="225" t="s">
        <v>324</v>
      </c>
      <c r="D92" s="238"/>
      <c r="E92" s="216">
        <v>1974</v>
      </c>
      <c r="F92" s="216" t="s">
        <v>420</v>
      </c>
      <c r="G92" s="216">
        <v>5</v>
      </c>
      <c r="H92" s="216" t="s">
        <v>321</v>
      </c>
      <c r="I92" s="217">
        <v>3593.6</v>
      </c>
      <c r="J92" s="217">
        <v>2651.3</v>
      </c>
      <c r="K92" s="218">
        <v>115</v>
      </c>
      <c r="L92" s="216" t="s">
        <v>417</v>
      </c>
      <c r="M92" s="216" t="s">
        <v>423</v>
      </c>
      <c r="N92" s="219" t="s">
        <v>491</v>
      </c>
      <c r="O92" s="221">
        <v>10864014</v>
      </c>
      <c r="P92" s="221">
        <v>0</v>
      </c>
      <c r="Q92" s="221">
        <v>0</v>
      </c>
      <c r="R92" s="221">
        <v>0</v>
      </c>
      <c r="S92" s="221">
        <f t="shared" si="24"/>
        <v>10864014</v>
      </c>
      <c r="T92" s="221">
        <f t="shared" si="12"/>
        <v>3023.1561665182548</v>
      </c>
      <c r="U92" s="221">
        <v>3023.16</v>
      </c>
      <c r="V92" s="27">
        <f t="shared" si="19"/>
        <v>0</v>
      </c>
      <c r="CR92" s="1"/>
    </row>
    <row r="93" spans="1:96" ht="35.25" x14ac:dyDescent="0.5">
      <c r="A93">
        <v>1</v>
      </c>
      <c r="B93" s="223">
        <f>SUBTOTAL(9,$A$16:A93)</f>
        <v>73</v>
      </c>
      <c r="C93" s="225" t="s">
        <v>342</v>
      </c>
      <c r="D93" s="238"/>
      <c r="E93" s="216">
        <v>1971</v>
      </c>
      <c r="F93" s="216" t="s">
        <v>419</v>
      </c>
      <c r="G93" s="216">
        <v>5</v>
      </c>
      <c r="H93" s="216" t="s">
        <v>321</v>
      </c>
      <c r="I93" s="217">
        <v>3181.17</v>
      </c>
      <c r="J93" s="217">
        <v>2877.67</v>
      </c>
      <c r="K93" s="218">
        <v>208</v>
      </c>
      <c r="L93" s="216" t="s">
        <v>417</v>
      </c>
      <c r="M93" s="216" t="s">
        <v>423</v>
      </c>
      <c r="N93" s="219" t="s">
        <v>494</v>
      </c>
      <c r="O93" s="221">
        <v>15905327.5</v>
      </c>
      <c r="P93" s="221">
        <v>0</v>
      </c>
      <c r="Q93" s="221">
        <v>0</v>
      </c>
      <c r="R93" s="221">
        <v>0</v>
      </c>
      <c r="S93" s="221">
        <f t="shared" si="24"/>
        <v>15905327.5</v>
      </c>
      <c r="T93" s="221">
        <f t="shared" si="12"/>
        <v>4999.8357522546739</v>
      </c>
      <c r="U93" s="221">
        <v>4472.1499999999996</v>
      </c>
      <c r="V93" s="27">
        <f t="shared" si="19"/>
        <v>0</v>
      </c>
      <c r="CR93" s="1"/>
    </row>
    <row r="94" spans="1:96" ht="35.25" x14ac:dyDescent="0.5">
      <c r="A94">
        <v>1</v>
      </c>
      <c r="B94" s="223">
        <f>SUBTOTAL(9,$A$16:A94)</f>
        <v>74</v>
      </c>
      <c r="C94" s="225" t="s">
        <v>340</v>
      </c>
      <c r="D94" s="238"/>
      <c r="E94" s="216">
        <v>1973</v>
      </c>
      <c r="F94" s="216" t="s">
        <v>419</v>
      </c>
      <c r="G94" s="216">
        <v>5</v>
      </c>
      <c r="H94" s="216" t="s">
        <v>320</v>
      </c>
      <c r="I94" s="217">
        <v>5940.9</v>
      </c>
      <c r="J94" s="217">
        <v>4045</v>
      </c>
      <c r="K94" s="218">
        <v>310</v>
      </c>
      <c r="L94" s="216" t="s">
        <v>417</v>
      </c>
      <c r="M94" s="216" t="s">
        <v>423</v>
      </c>
      <c r="N94" s="219" t="s">
        <v>494</v>
      </c>
      <c r="O94" s="221">
        <v>26223660.460000001</v>
      </c>
      <c r="P94" s="221">
        <v>0</v>
      </c>
      <c r="Q94" s="221">
        <v>0</v>
      </c>
      <c r="R94" s="221">
        <v>0</v>
      </c>
      <c r="S94" s="221">
        <f t="shared" si="24"/>
        <v>26223660.460000001</v>
      </c>
      <c r="T94" s="221">
        <f t="shared" si="12"/>
        <v>4414.0888518574629</v>
      </c>
      <c r="U94" s="221">
        <v>4414.09</v>
      </c>
      <c r="V94" s="27">
        <f t="shared" si="19"/>
        <v>0</v>
      </c>
      <c r="CR94" s="1"/>
    </row>
    <row r="95" spans="1:96" ht="35.25" x14ac:dyDescent="0.5">
      <c r="A95">
        <v>1</v>
      </c>
      <c r="B95" s="223">
        <f>SUBTOTAL(9,$A$16:A95)</f>
        <v>75</v>
      </c>
      <c r="C95" s="225" t="s">
        <v>593</v>
      </c>
      <c r="D95" s="238"/>
      <c r="E95" s="216">
        <v>1976</v>
      </c>
      <c r="F95" s="216" t="s">
        <v>419</v>
      </c>
      <c r="G95" s="216">
        <v>3</v>
      </c>
      <c r="H95" s="216" t="s">
        <v>319</v>
      </c>
      <c r="I95" s="217">
        <v>1655.19</v>
      </c>
      <c r="J95" s="217">
        <v>1064.29</v>
      </c>
      <c r="K95" s="218">
        <v>30</v>
      </c>
      <c r="L95" s="216" t="s">
        <v>417</v>
      </c>
      <c r="M95" s="216" t="s">
        <v>423</v>
      </c>
      <c r="N95" s="219" t="s">
        <v>594</v>
      </c>
      <c r="O95" s="221">
        <v>7832191.2000000002</v>
      </c>
      <c r="P95" s="221">
        <v>0</v>
      </c>
      <c r="Q95" s="221">
        <v>0</v>
      </c>
      <c r="R95" s="221">
        <v>0</v>
      </c>
      <c r="S95" s="221">
        <f t="shared" si="24"/>
        <v>7832191.2000000002</v>
      </c>
      <c r="T95" s="221">
        <f t="shared" si="12"/>
        <v>4731.898573577656</v>
      </c>
      <c r="U95" s="221">
        <v>6610.54</v>
      </c>
      <c r="V95" s="27">
        <f t="shared" si="19"/>
        <v>0</v>
      </c>
      <c r="CR95" s="1"/>
    </row>
    <row r="96" spans="1:96" ht="35.25" x14ac:dyDescent="0.5">
      <c r="A96">
        <v>1</v>
      </c>
      <c r="B96" s="223">
        <f>SUBTOTAL(9,$A$16:A96)</f>
        <v>76</v>
      </c>
      <c r="C96" s="225" t="s">
        <v>348</v>
      </c>
      <c r="D96" s="238"/>
      <c r="E96" s="216">
        <v>1974</v>
      </c>
      <c r="F96" s="216" t="s">
        <v>419</v>
      </c>
      <c r="G96" s="216">
        <v>5</v>
      </c>
      <c r="H96" s="216" t="s">
        <v>323</v>
      </c>
      <c r="I96" s="217">
        <v>7592.1</v>
      </c>
      <c r="J96" s="217">
        <v>4512.7</v>
      </c>
      <c r="K96" s="218">
        <v>203</v>
      </c>
      <c r="L96" s="216" t="s">
        <v>417</v>
      </c>
      <c r="M96" s="216" t="s">
        <v>423</v>
      </c>
      <c r="N96" s="219" t="s">
        <v>495</v>
      </c>
      <c r="O96" s="221">
        <v>18432428.520000003</v>
      </c>
      <c r="P96" s="221">
        <v>0</v>
      </c>
      <c r="Q96" s="221">
        <v>0</v>
      </c>
      <c r="R96" s="221">
        <v>0</v>
      </c>
      <c r="S96" s="221">
        <f>O96-P96-Q96-R96</f>
        <v>18432428.520000003</v>
      </c>
      <c r="T96" s="221">
        <f t="shared" si="12"/>
        <v>2427.8432212431348</v>
      </c>
      <c r="U96" s="221">
        <v>2473.52</v>
      </c>
      <c r="V96" s="27">
        <f t="shared" si="19"/>
        <v>0</v>
      </c>
      <c r="CR96" s="1"/>
    </row>
    <row r="97" spans="1:96" ht="35.25" x14ac:dyDescent="0.5">
      <c r="A97">
        <v>1</v>
      </c>
      <c r="B97" s="223">
        <f>SUBTOTAL(9,$A$16:A97)</f>
        <v>77</v>
      </c>
      <c r="C97" s="225" t="s">
        <v>353</v>
      </c>
      <c r="D97" s="238"/>
      <c r="E97" s="216">
        <v>1974</v>
      </c>
      <c r="F97" s="216" t="s">
        <v>419</v>
      </c>
      <c r="G97" s="216">
        <v>2</v>
      </c>
      <c r="H97" s="216" t="s">
        <v>319</v>
      </c>
      <c r="I97" s="217">
        <v>844</v>
      </c>
      <c r="J97" s="217">
        <v>792.3</v>
      </c>
      <c r="K97" s="218">
        <v>42</v>
      </c>
      <c r="L97" s="216" t="s">
        <v>417</v>
      </c>
      <c r="M97" s="216" t="s">
        <v>423</v>
      </c>
      <c r="N97" s="219" t="s">
        <v>437</v>
      </c>
      <c r="O97" s="221">
        <v>8873462.4900000002</v>
      </c>
      <c r="P97" s="221">
        <v>0</v>
      </c>
      <c r="Q97" s="221">
        <v>0</v>
      </c>
      <c r="R97" s="221">
        <v>0</v>
      </c>
      <c r="S97" s="221">
        <f>O97-P97-Q97-R97</f>
        <v>8873462.4900000002</v>
      </c>
      <c r="T97" s="221">
        <f t="shared" si="12"/>
        <v>10513.581149289099</v>
      </c>
      <c r="U97" s="221">
        <v>10711.39</v>
      </c>
      <c r="V97" s="27">
        <f t="shared" si="19"/>
        <v>0</v>
      </c>
      <c r="CR97" s="1"/>
    </row>
    <row r="98" spans="1:96" ht="35.25" x14ac:dyDescent="0.5">
      <c r="A98">
        <v>1</v>
      </c>
      <c r="B98" s="223">
        <f>SUBTOTAL(9,$A$16:A98)</f>
        <v>78</v>
      </c>
      <c r="C98" s="226" t="s">
        <v>604</v>
      </c>
      <c r="D98" s="227"/>
      <c r="E98" s="216">
        <v>1953</v>
      </c>
      <c r="F98" s="216" t="s">
        <v>419</v>
      </c>
      <c r="G98" s="216">
        <v>2</v>
      </c>
      <c r="H98" s="216">
        <v>2</v>
      </c>
      <c r="I98" s="217">
        <v>911</v>
      </c>
      <c r="J98" s="217">
        <v>909.4</v>
      </c>
      <c r="K98" s="218">
        <v>31</v>
      </c>
      <c r="L98" s="216" t="s">
        <v>417</v>
      </c>
      <c r="M98" s="216" t="s">
        <v>424</v>
      </c>
      <c r="N98" s="219" t="s">
        <v>425</v>
      </c>
      <c r="O98" s="228">
        <v>11681001.229999999</v>
      </c>
      <c r="P98" s="228">
        <v>0</v>
      </c>
      <c r="Q98" s="228">
        <v>0</v>
      </c>
      <c r="R98" s="228">
        <v>0</v>
      </c>
      <c r="S98" s="228">
        <f t="shared" ref="S98" si="25">O98-Q98-R98</f>
        <v>11681001.229999999</v>
      </c>
      <c r="T98" s="235">
        <f t="shared" si="12"/>
        <v>12822.174785949504</v>
      </c>
      <c r="U98" s="228">
        <v>13685.11</v>
      </c>
      <c r="V98" s="27">
        <f t="shared" si="19"/>
        <v>0</v>
      </c>
      <c r="W98" s="33"/>
      <c r="X98" s="33"/>
      <c r="Y98" s="33"/>
      <c r="Z98" s="33"/>
      <c r="AA98" s="34"/>
      <c r="AB98" s="1">
        <f>O98-P98-Q98-R98-S98</f>
        <v>0</v>
      </c>
      <c r="AD98" s="35"/>
      <c r="BU98" s="1">
        <f>U98-T98</f>
        <v>862.93521405049614</v>
      </c>
      <c r="CN98" s="1"/>
      <c r="CR98" s="1"/>
    </row>
    <row r="99" spans="1:96" ht="35.25" x14ac:dyDescent="0.5">
      <c r="A99">
        <v>1</v>
      </c>
      <c r="B99" s="223">
        <f>SUBTOTAL(9,$A$16:A99)</f>
        <v>79</v>
      </c>
      <c r="C99" s="225" t="s">
        <v>362</v>
      </c>
      <c r="D99" s="238"/>
      <c r="E99" s="216">
        <v>1974</v>
      </c>
      <c r="F99" s="216" t="s">
        <v>419</v>
      </c>
      <c r="G99" s="216">
        <v>5</v>
      </c>
      <c r="H99" s="216" t="s">
        <v>321</v>
      </c>
      <c r="I99" s="217">
        <v>3767.2</v>
      </c>
      <c r="J99" s="217">
        <v>2841.2</v>
      </c>
      <c r="K99" s="218">
        <v>115</v>
      </c>
      <c r="L99" s="216" t="s">
        <v>417</v>
      </c>
      <c r="M99" s="216" t="s">
        <v>423</v>
      </c>
      <c r="N99" s="219" t="s">
        <v>496</v>
      </c>
      <c r="O99" s="221">
        <v>10424280.1</v>
      </c>
      <c r="P99" s="221">
        <v>0</v>
      </c>
      <c r="Q99" s="221">
        <v>0</v>
      </c>
      <c r="R99" s="221">
        <v>0</v>
      </c>
      <c r="S99" s="221">
        <f>O99-P99-Q99-R99</f>
        <v>10424280.1</v>
      </c>
      <c r="T99" s="221">
        <f t="shared" si="12"/>
        <v>2767.1161870885539</v>
      </c>
      <c r="U99" s="221">
        <v>2767.12</v>
      </c>
      <c r="V99" s="27">
        <f t="shared" si="19"/>
        <v>0</v>
      </c>
      <c r="CR99" s="1"/>
    </row>
    <row r="100" spans="1:96" ht="35.25" x14ac:dyDescent="0.5">
      <c r="A100">
        <v>1</v>
      </c>
      <c r="B100" s="223">
        <f>SUBTOTAL(9,$A$16:A100)</f>
        <v>80</v>
      </c>
      <c r="C100" s="225" t="s">
        <v>364</v>
      </c>
      <c r="D100" s="238"/>
      <c r="E100" s="216">
        <v>1966</v>
      </c>
      <c r="F100" s="216" t="s">
        <v>419</v>
      </c>
      <c r="G100" s="216">
        <v>4</v>
      </c>
      <c r="H100" s="216" t="s">
        <v>319</v>
      </c>
      <c r="I100" s="217">
        <v>1738</v>
      </c>
      <c r="J100" s="217">
        <v>1286.7</v>
      </c>
      <c r="K100" s="218">
        <v>63</v>
      </c>
      <c r="L100" s="216" t="s">
        <v>417</v>
      </c>
      <c r="M100" s="216" t="s">
        <v>423</v>
      </c>
      <c r="N100" s="219" t="s">
        <v>497</v>
      </c>
      <c r="O100" s="221">
        <v>10260484.299999999</v>
      </c>
      <c r="P100" s="221">
        <v>0</v>
      </c>
      <c r="Q100" s="221">
        <v>0</v>
      </c>
      <c r="R100" s="221">
        <v>0</v>
      </c>
      <c r="S100" s="221">
        <f>O100-P100-Q100-R100</f>
        <v>10260484.299999999</v>
      </c>
      <c r="T100" s="221">
        <f t="shared" si="12"/>
        <v>5903.6158227848091</v>
      </c>
      <c r="U100" s="221">
        <v>5903.62</v>
      </c>
      <c r="V100" s="27">
        <f t="shared" si="19"/>
        <v>0</v>
      </c>
      <c r="CR100" s="1"/>
    </row>
    <row r="101" spans="1:96" ht="35.25" x14ac:dyDescent="0.5">
      <c r="A101">
        <v>1</v>
      </c>
      <c r="B101" s="223">
        <f>SUBTOTAL(9,$A$16:A101)</f>
        <v>81</v>
      </c>
      <c r="C101" s="225" t="s">
        <v>363</v>
      </c>
      <c r="D101" s="238"/>
      <c r="E101" s="216">
        <v>1963</v>
      </c>
      <c r="F101" s="216" t="s">
        <v>419</v>
      </c>
      <c r="G101" s="216">
        <v>4</v>
      </c>
      <c r="H101" s="216" t="s">
        <v>326</v>
      </c>
      <c r="I101" s="217">
        <v>2715.63</v>
      </c>
      <c r="J101" s="217">
        <v>2040.6799999999998</v>
      </c>
      <c r="K101" s="218">
        <v>61</v>
      </c>
      <c r="L101" s="216" t="s">
        <v>417</v>
      </c>
      <c r="M101" s="216" t="s">
        <v>423</v>
      </c>
      <c r="N101" s="219" t="s">
        <v>498</v>
      </c>
      <c r="O101" s="221">
        <v>12290824.58</v>
      </c>
      <c r="P101" s="221">
        <v>0</v>
      </c>
      <c r="Q101" s="221">
        <v>0</v>
      </c>
      <c r="R101" s="221">
        <v>0</v>
      </c>
      <c r="S101" s="221">
        <f>O101-P101-Q101-R101</f>
        <v>12290824.58</v>
      </c>
      <c r="T101" s="221">
        <f t="shared" si="12"/>
        <v>4525.9569897224583</v>
      </c>
      <c r="U101" s="221">
        <v>4611.1099999999997</v>
      </c>
      <c r="V101" s="27">
        <f t="shared" si="19"/>
        <v>0</v>
      </c>
      <c r="CR101" s="1"/>
    </row>
    <row r="102" spans="1:96" ht="35.25" x14ac:dyDescent="0.5">
      <c r="A102">
        <v>1</v>
      </c>
      <c r="B102" s="223">
        <f>SUBTOTAL(9,$A$16:A102)</f>
        <v>82</v>
      </c>
      <c r="C102" s="225" t="s">
        <v>352</v>
      </c>
      <c r="D102" s="238"/>
      <c r="E102" s="216">
        <v>1974</v>
      </c>
      <c r="F102" s="216" t="s">
        <v>419</v>
      </c>
      <c r="G102" s="216">
        <v>2</v>
      </c>
      <c r="H102" s="216" t="s">
        <v>319</v>
      </c>
      <c r="I102" s="217">
        <v>831.8</v>
      </c>
      <c r="J102" s="217">
        <v>828.3</v>
      </c>
      <c r="K102" s="218">
        <v>21</v>
      </c>
      <c r="L102" s="216" t="s">
        <v>417</v>
      </c>
      <c r="M102" s="216" t="s">
        <v>424</v>
      </c>
      <c r="N102" s="219" t="s">
        <v>425</v>
      </c>
      <c r="O102" s="221">
        <v>5760895.5800000001</v>
      </c>
      <c r="P102" s="221">
        <v>0</v>
      </c>
      <c r="Q102" s="221">
        <v>0</v>
      </c>
      <c r="R102" s="221">
        <v>0</v>
      </c>
      <c r="S102" s="221">
        <f>O102-P102-Q102-R102</f>
        <v>5760895.5800000001</v>
      </c>
      <c r="T102" s="221">
        <f t="shared" si="12"/>
        <v>6925.8182014907434</v>
      </c>
      <c r="U102" s="221">
        <v>10576.21</v>
      </c>
      <c r="V102" s="27">
        <f t="shared" si="19"/>
        <v>0</v>
      </c>
      <c r="CR102" s="1"/>
    </row>
    <row r="103" spans="1:96" s="60" customFormat="1" ht="35.25" x14ac:dyDescent="0.5">
      <c r="B103" s="236" t="s">
        <v>502</v>
      </c>
      <c r="C103" s="236"/>
      <c r="D103" s="216" t="s">
        <v>422</v>
      </c>
      <c r="E103" s="216" t="s">
        <v>422</v>
      </c>
      <c r="F103" s="216" t="s">
        <v>422</v>
      </c>
      <c r="G103" s="216" t="s">
        <v>422</v>
      </c>
      <c r="H103" s="216" t="s">
        <v>422</v>
      </c>
      <c r="I103" s="217">
        <f>I104+I105+I106+I107</f>
        <v>5714.2999999999993</v>
      </c>
      <c r="J103" s="217">
        <f t="shared" ref="J103:K103" si="26">J104+J105+J106+J107</f>
        <v>4343.7</v>
      </c>
      <c r="K103" s="218">
        <f t="shared" si="26"/>
        <v>226</v>
      </c>
      <c r="L103" s="216" t="s">
        <v>422</v>
      </c>
      <c r="M103" s="216" t="s">
        <v>422</v>
      </c>
      <c r="N103" s="219" t="s">
        <v>422</v>
      </c>
      <c r="O103" s="220">
        <f t="shared" ref="O103" si="27">O104+O105+O106+O107</f>
        <v>30681980.5</v>
      </c>
      <c r="P103" s="220">
        <f t="shared" ref="P103" si="28">P104+P105+P106+P107</f>
        <v>0</v>
      </c>
      <c r="Q103" s="220">
        <f t="shared" ref="Q103" si="29">Q104+Q105+Q106+Q107</f>
        <v>0</v>
      </c>
      <c r="R103" s="220">
        <f t="shared" ref="R103" si="30">R104+R105+R106+R107</f>
        <v>0</v>
      </c>
      <c r="S103" s="220">
        <f t="shared" ref="S103" si="31">S104+S105+S106+S107</f>
        <v>30681980.5</v>
      </c>
      <c r="T103" s="221">
        <f t="shared" ref="T103:T123" si="32">O103/I103</f>
        <v>5369.3331641670902</v>
      </c>
      <c r="U103" s="221">
        <f>MAX(U104:U107)</f>
        <v>14248.939795918368</v>
      </c>
      <c r="V103" s="27">
        <f t="shared" si="19"/>
        <v>0</v>
      </c>
      <c r="CR103" s="61"/>
    </row>
    <row r="104" spans="1:96" ht="35.25" x14ac:dyDescent="0.5">
      <c r="A104">
        <v>1</v>
      </c>
      <c r="B104" s="223">
        <f>SUBTOTAL(9,$A$16:A104)</f>
        <v>83</v>
      </c>
      <c r="C104" s="225" t="s">
        <v>597</v>
      </c>
      <c r="D104" s="238"/>
      <c r="E104" s="216">
        <v>1986</v>
      </c>
      <c r="F104" s="216" t="s">
        <v>419</v>
      </c>
      <c r="G104" s="216">
        <v>5</v>
      </c>
      <c r="H104" s="216">
        <v>4</v>
      </c>
      <c r="I104" s="217">
        <v>3071.2</v>
      </c>
      <c r="J104" s="217">
        <v>2776.7</v>
      </c>
      <c r="K104" s="218">
        <v>156</v>
      </c>
      <c r="L104" s="216" t="s">
        <v>417</v>
      </c>
      <c r="M104" s="216" t="s">
        <v>423</v>
      </c>
      <c r="N104" s="219" t="s">
        <v>510</v>
      </c>
      <c r="O104" s="221">
        <v>10500000</v>
      </c>
      <c r="P104" s="221">
        <v>0</v>
      </c>
      <c r="Q104" s="221">
        <v>0</v>
      </c>
      <c r="R104" s="221">
        <v>0</v>
      </c>
      <c r="S104" s="221">
        <f>O104-P104-Q104-R104</f>
        <v>10500000</v>
      </c>
      <c r="T104" s="221">
        <f t="shared" si="32"/>
        <v>3418.8590778848661</v>
      </c>
      <c r="U104" s="221">
        <v>3492.73</v>
      </c>
      <c r="V104" s="27">
        <f t="shared" si="19"/>
        <v>0</v>
      </c>
      <c r="CR104" s="1"/>
    </row>
    <row r="105" spans="1:96" ht="35.25" x14ac:dyDescent="0.5">
      <c r="A105">
        <v>1</v>
      </c>
      <c r="B105" s="223">
        <f>SUBTOTAL(9,$A$16:A105)</f>
        <v>84</v>
      </c>
      <c r="C105" s="225" t="s">
        <v>380</v>
      </c>
      <c r="D105" s="238"/>
      <c r="E105" s="216">
        <v>1980</v>
      </c>
      <c r="F105" s="216" t="s">
        <v>419</v>
      </c>
      <c r="G105" s="216">
        <v>2</v>
      </c>
      <c r="H105" s="216" t="s">
        <v>326</v>
      </c>
      <c r="I105" s="217">
        <v>1738.7</v>
      </c>
      <c r="J105" s="217">
        <v>993.2</v>
      </c>
      <c r="K105" s="218">
        <v>18</v>
      </c>
      <c r="L105" s="216" t="s">
        <v>417</v>
      </c>
      <c r="M105" s="216" t="s">
        <v>423</v>
      </c>
      <c r="N105" s="219" t="s">
        <v>511</v>
      </c>
      <c r="O105" s="221">
        <v>13000000</v>
      </c>
      <c r="P105" s="221">
        <v>0</v>
      </c>
      <c r="Q105" s="221">
        <v>0</v>
      </c>
      <c r="R105" s="221">
        <v>0</v>
      </c>
      <c r="S105" s="221">
        <f>O105-P105-Q105-R105</f>
        <v>13000000</v>
      </c>
      <c r="T105" s="221">
        <f t="shared" si="32"/>
        <v>7476.8505205038246</v>
      </c>
      <c r="U105" s="221">
        <v>14009.73</v>
      </c>
      <c r="V105" s="27">
        <f t="shared" si="19"/>
        <v>0</v>
      </c>
      <c r="CR105" s="1"/>
    </row>
    <row r="106" spans="1:96" ht="35.25" x14ac:dyDescent="0.5">
      <c r="A106">
        <v>1</v>
      </c>
      <c r="B106" s="223">
        <f>SUBTOTAL(9,$A$16:A106)</f>
        <v>85</v>
      </c>
      <c r="C106" s="225" t="s">
        <v>598</v>
      </c>
      <c r="D106" s="238"/>
      <c r="E106" s="216">
        <v>1962</v>
      </c>
      <c r="F106" s="216" t="s">
        <v>419</v>
      </c>
      <c r="G106" s="216">
        <v>2</v>
      </c>
      <c r="H106" s="216">
        <v>2</v>
      </c>
      <c r="I106" s="217">
        <v>490</v>
      </c>
      <c r="J106" s="217">
        <v>299.3</v>
      </c>
      <c r="K106" s="218">
        <v>31</v>
      </c>
      <c r="L106" s="216" t="s">
        <v>417</v>
      </c>
      <c r="M106" s="216" t="s">
        <v>424</v>
      </c>
      <c r="N106" s="219" t="s">
        <v>425</v>
      </c>
      <c r="O106" s="221">
        <v>6981980.5</v>
      </c>
      <c r="P106" s="221">
        <v>0</v>
      </c>
      <c r="Q106" s="221">
        <v>0</v>
      </c>
      <c r="R106" s="221">
        <v>0</v>
      </c>
      <c r="S106" s="221">
        <f>O106-P106-Q106-R106</f>
        <v>6981980.5</v>
      </c>
      <c r="T106" s="221">
        <f t="shared" si="32"/>
        <v>14248.939795918368</v>
      </c>
      <c r="U106" s="221">
        <v>14248.939795918368</v>
      </c>
      <c r="V106" s="27">
        <f t="shared" si="19"/>
        <v>0</v>
      </c>
      <c r="CR106" s="1"/>
    </row>
    <row r="107" spans="1:96" ht="35.25" x14ac:dyDescent="0.5">
      <c r="A107">
        <v>1</v>
      </c>
      <c r="B107" s="223">
        <f>SUBTOTAL(9,$A$16:A107)</f>
        <v>86</v>
      </c>
      <c r="C107" s="225" t="s">
        <v>785</v>
      </c>
      <c r="D107" s="238"/>
      <c r="E107" s="216">
        <v>1958</v>
      </c>
      <c r="F107" s="216" t="s">
        <v>318</v>
      </c>
      <c r="G107" s="216">
        <v>2</v>
      </c>
      <c r="H107" s="216">
        <v>1</v>
      </c>
      <c r="I107" s="217">
        <v>414.4</v>
      </c>
      <c r="J107" s="217">
        <v>274.5</v>
      </c>
      <c r="K107" s="218">
        <v>21</v>
      </c>
      <c r="L107" s="216" t="s">
        <v>417</v>
      </c>
      <c r="M107" s="216" t="s">
        <v>424</v>
      </c>
      <c r="N107" s="219" t="s">
        <v>425</v>
      </c>
      <c r="O107" s="221">
        <v>200000</v>
      </c>
      <c r="P107" s="221">
        <v>0</v>
      </c>
      <c r="Q107" s="221">
        <v>0</v>
      </c>
      <c r="R107" s="221">
        <v>0</v>
      </c>
      <c r="S107" s="221">
        <f>O107-P107-Q107-R107</f>
        <v>200000</v>
      </c>
      <c r="T107" s="221">
        <f t="shared" si="32"/>
        <v>482.62548262548268</v>
      </c>
      <c r="U107" s="221">
        <f>T107</f>
        <v>482.62548262548268</v>
      </c>
      <c r="V107" s="27">
        <f t="shared" si="19"/>
        <v>0</v>
      </c>
      <c r="CR107" s="1"/>
    </row>
    <row r="108" spans="1:96" s="60" customFormat="1" ht="35.25" x14ac:dyDescent="0.5">
      <c r="B108" s="236" t="s">
        <v>503</v>
      </c>
      <c r="C108" s="236"/>
      <c r="D108" s="216" t="s">
        <v>422</v>
      </c>
      <c r="E108" s="216" t="s">
        <v>422</v>
      </c>
      <c r="F108" s="216" t="s">
        <v>422</v>
      </c>
      <c r="G108" s="216" t="s">
        <v>422</v>
      </c>
      <c r="H108" s="216" t="s">
        <v>422</v>
      </c>
      <c r="I108" s="217">
        <f>I109</f>
        <v>1260.3</v>
      </c>
      <c r="J108" s="217">
        <f t="shared" ref="J108:K108" si="33">J109</f>
        <v>585.6</v>
      </c>
      <c r="K108" s="218">
        <f t="shared" si="33"/>
        <v>44</v>
      </c>
      <c r="L108" s="216" t="s">
        <v>422</v>
      </c>
      <c r="M108" s="216" t="s">
        <v>422</v>
      </c>
      <c r="N108" s="219" t="s">
        <v>422</v>
      </c>
      <c r="O108" s="221">
        <f>O109</f>
        <v>12313494.880000001</v>
      </c>
      <c r="P108" s="221">
        <f t="shared" ref="P108:S108" si="34">P109</f>
        <v>0</v>
      </c>
      <c r="Q108" s="221">
        <f t="shared" si="34"/>
        <v>0</v>
      </c>
      <c r="R108" s="221">
        <f t="shared" si="34"/>
        <v>0</v>
      </c>
      <c r="S108" s="221">
        <f t="shared" si="34"/>
        <v>12313494.880000001</v>
      </c>
      <c r="T108" s="221">
        <f t="shared" si="32"/>
        <v>9770.2887249067699</v>
      </c>
      <c r="U108" s="221">
        <f>U109</f>
        <v>10877.85</v>
      </c>
      <c r="V108" s="27">
        <f t="shared" si="19"/>
        <v>0</v>
      </c>
      <c r="W108" s="60">
        <v>0</v>
      </c>
      <c r="X108" s="60">
        <v>0</v>
      </c>
      <c r="Y108" s="60">
        <v>0</v>
      </c>
      <c r="Z108" s="60">
        <v>0</v>
      </c>
      <c r="AB108" s="60">
        <f>O108-P108-Q108-R108-S108</f>
        <v>0</v>
      </c>
      <c r="AD108" s="60">
        <v>0</v>
      </c>
      <c r="AE108" s="60">
        <f>AD108*8294.83/I108</f>
        <v>0</v>
      </c>
      <c r="AH108" s="60" t="e">
        <f>VLOOKUP(C108,AI:AJ,2,FALSE)</f>
        <v>#N/A</v>
      </c>
      <c r="BU108" s="60">
        <f>U108-T108</f>
        <v>1107.5612750932305</v>
      </c>
      <c r="BW108" s="60" t="e">
        <f>VLOOKUP(C108,BX:BY,2,FALSE)</f>
        <v>#N/A</v>
      </c>
      <c r="CR108" s="61"/>
    </row>
    <row r="109" spans="1:96" ht="35.25" x14ac:dyDescent="0.5">
      <c r="A109">
        <v>1</v>
      </c>
      <c r="B109" s="223">
        <f>SUBTOTAL(9,$A$16:A109)</f>
        <v>87</v>
      </c>
      <c r="C109" s="225" t="s">
        <v>629</v>
      </c>
      <c r="D109" s="238"/>
      <c r="E109" s="216">
        <v>1978</v>
      </c>
      <c r="F109" s="216" t="s">
        <v>419</v>
      </c>
      <c r="G109" s="216">
        <v>2</v>
      </c>
      <c r="H109" s="216" t="s">
        <v>326</v>
      </c>
      <c r="I109" s="217">
        <v>1260.3</v>
      </c>
      <c r="J109" s="217">
        <v>585.6</v>
      </c>
      <c r="K109" s="218">
        <v>44</v>
      </c>
      <c r="L109" s="216" t="s">
        <v>417</v>
      </c>
      <c r="M109" s="216" t="s">
        <v>424</v>
      </c>
      <c r="N109" s="219" t="s">
        <v>425</v>
      </c>
      <c r="O109" s="221">
        <v>12313494.880000001</v>
      </c>
      <c r="P109" s="221">
        <v>0</v>
      </c>
      <c r="Q109" s="221">
        <v>0</v>
      </c>
      <c r="R109" s="221">
        <v>0</v>
      </c>
      <c r="S109" s="221">
        <f>O109-P109-Q109-R109</f>
        <v>12313494.880000001</v>
      </c>
      <c r="T109" s="221">
        <f t="shared" si="32"/>
        <v>9770.2887249067699</v>
      </c>
      <c r="U109" s="221">
        <v>10877.85</v>
      </c>
      <c r="V109" s="27">
        <f t="shared" si="19"/>
        <v>0</v>
      </c>
      <c r="W109" s="33">
        <v>0</v>
      </c>
      <c r="X109" s="33">
        <v>0</v>
      </c>
      <c r="Y109" s="33">
        <v>0</v>
      </c>
      <c r="Z109" s="33">
        <v>0</v>
      </c>
      <c r="AA109" s="34"/>
      <c r="AB109" s="1">
        <f>O109-P109-Q109-R109-S109</f>
        <v>0</v>
      </c>
      <c r="AD109" s="35">
        <v>0</v>
      </c>
      <c r="AE109">
        <f>AD109*8294.83/I109</f>
        <v>0</v>
      </c>
      <c r="AH109" t="e">
        <f>VLOOKUP(C109,AI:AJ,2,FALSE)</f>
        <v>#N/A</v>
      </c>
      <c r="BU109" s="1">
        <f>U109-T109</f>
        <v>1107.5612750932305</v>
      </c>
      <c r="BW109" t="e">
        <f>VLOOKUP(C109,BX:BY,2,FALSE)</f>
        <v>#N/A</v>
      </c>
      <c r="CN109" s="1"/>
      <c r="CR109" s="1"/>
    </row>
    <row r="110" spans="1:96" s="60" customFormat="1" ht="35.25" x14ac:dyDescent="0.5">
      <c r="B110" s="236" t="s">
        <v>504</v>
      </c>
      <c r="C110" s="236"/>
      <c r="D110" s="216" t="s">
        <v>422</v>
      </c>
      <c r="E110" s="216" t="s">
        <v>422</v>
      </c>
      <c r="F110" s="216" t="s">
        <v>422</v>
      </c>
      <c r="G110" s="216" t="s">
        <v>422</v>
      </c>
      <c r="H110" s="216" t="s">
        <v>422</v>
      </c>
      <c r="I110" s="217">
        <f>I111</f>
        <v>774.2</v>
      </c>
      <c r="J110" s="217">
        <f t="shared" ref="J110:K110" si="35">J111</f>
        <v>715</v>
      </c>
      <c r="K110" s="218">
        <f t="shared" si="35"/>
        <v>42</v>
      </c>
      <c r="L110" s="216" t="s">
        <v>422</v>
      </c>
      <c r="M110" s="216" t="s">
        <v>422</v>
      </c>
      <c r="N110" s="219" t="s">
        <v>422</v>
      </c>
      <c r="O110" s="221">
        <v>7934068.75</v>
      </c>
      <c r="P110" s="221">
        <f t="shared" ref="P110:S110" si="36">P111</f>
        <v>0</v>
      </c>
      <c r="Q110" s="221">
        <f t="shared" si="36"/>
        <v>0</v>
      </c>
      <c r="R110" s="221">
        <f t="shared" si="36"/>
        <v>0</v>
      </c>
      <c r="S110" s="221">
        <f t="shared" si="36"/>
        <v>7934068.75</v>
      </c>
      <c r="T110" s="221">
        <f t="shared" si="32"/>
        <v>10248.086734693878</v>
      </c>
      <c r="U110" s="221">
        <f>U111</f>
        <v>10440.9</v>
      </c>
      <c r="V110" s="27">
        <f t="shared" si="19"/>
        <v>0</v>
      </c>
      <c r="CR110" s="61"/>
    </row>
    <row r="111" spans="1:96" ht="35.25" x14ac:dyDescent="0.5">
      <c r="A111">
        <v>1</v>
      </c>
      <c r="B111" s="223">
        <f>SUBTOTAL(9,$A$16:A111)</f>
        <v>88</v>
      </c>
      <c r="C111" s="225" t="s">
        <v>370</v>
      </c>
      <c r="D111" s="238"/>
      <c r="E111" s="216">
        <v>1970</v>
      </c>
      <c r="F111" s="216" t="s">
        <v>419</v>
      </c>
      <c r="G111" s="216">
        <v>2</v>
      </c>
      <c r="H111" s="216" t="s">
        <v>319</v>
      </c>
      <c r="I111" s="217">
        <v>774.2</v>
      </c>
      <c r="J111" s="217">
        <v>715</v>
      </c>
      <c r="K111" s="218">
        <v>42</v>
      </c>
      <c r="L111" s="216" t="s">
        <v>417</v>
      </c>
      <c r="M111" s="216" t="s">
        <v>424</v>
      </c>
      <c r="N111" s="219" t="s">
        <v>425</v>
      </c>
      <c r="O111" s="221">
        <v>7934068.75</v>
      </c>
      <c r="P111" s="221">
        <v>0</v>
      </c>
      <c r="Q111" s="221">
        <v>0</v>
      </c>
      <c r="R111" s="221">
        <v>0</v>
      </c>
      <c r="S111" s="221">
        <f>O111-P111-Q111-R111</f>
        <v>7934068.75</v>
      </c>
      <c r="T111" s="221">
        <f t="shared" si="32"/>
        <v>10248.086734693878</v>
      </c>
      <c r="U111" s="221">
        <v>10440.9</v>
      </c>
      <c r="V111" s="27">
        <f t="shared" si="19"/>
        <v>0</v>
      </c>
      <c r="CR111" s="1"/>
    </row>
    <row r="112" spans="1:96" s="60" customFormat="1" ht="35.25" x14ac:dyDescent="0.5">
      <c r="B112" s="236" t="s">
        <v>505</v>
      </c>
      <c r="C112" s="236"/>
      <c r="D112" s="216" t="s">
        <v>422</v>
      </c>
      <c r="E112" s="216" t="s">
        <v>422</v>
      </c>
      <c r="F112" s="216" t="s">
        <v>422</v>
      </c>
      <c r="G112" s="216" t="s">
        <v>422</v>
      </c>
      <c r="H112" s="216" t="s">
        <v>422</v>
      </c>
      <c r="I112" s="217">
        <f>I113</f>
        <v>415</v>
      </c>
      <c r="J112" s="217">
        <f t="shared" ref="J112:K112" si="37">J113</f>
        <v>387</v>
      </c>
      <c r="K112" s="218">
        <f t="shared" si="37"/>
        <v>17</v>
      </c>
      <c r="L112" s="216" t="s">
        <v>422</v>
      </c>
      <c r="M112" s="216" t="s">
        <v>422</v>
      </c>
      <c r="N112" s="219" t="s">
        <v>422</v>
      </c>
      <c r="O112" s="221">
        <v>4570023.5999999996</v>
      </c>
      <c r="P112" s="221">
        <f t="shared" ref="P112:S112" si="38">P113</f>
        <v>0</v>
      </c>
      <c r="Q112" s="221">
        <f t="shared" si="38"/>
        <v>0</v>
      </c>
      <c r="R112" s="221">
        <f t="shared" si="38"/>
        <v>0</v>
      </c>
      <c r="S112" s="221">
        <f t="shared" si="38"/>
        <v>4570023.5999999996</v>
      </c>
      <c r="T112" s="221">
        <f t="shared" si="32"/>
        <v>11012.105060240963</v>
      </c>
      <c r="U112" s="221">
        <f>U113</f>
        <v>11219.29</v>
      </c>
      <c r="V112" s="27">
        <f t="shared" si="19"/>
        <v>0</v>
      </c>
      <c r="CR112" s="61"/>
    </row>
    <row r="113" spans="1:96" ht="35.25" x14ac:dyDescent="0.5">
      <c r="A113">
        <v>1</v>
      </c>
      <c r="B113" s="223">
        <f>SUBTOTAL(9,$A$16:A113)</f>
        <v>89</v>
      </c>
      <c r="C113" s="225" t="s">
        <v>375</v>
      </c>
      <c r="D113" s="238"/>
      <c r="E113" s="216">
        <v>1978</v>
      </c>
      <c r="F113" s="216" t="s">
        <v>419</v>
      </c>
      <c r="G113" s="216">
        <v>2</v>
      </c>
      <c r="H113" s="216" t="s">
        <v>317</v>
      </c>
      <c r="I113" s="217">
        <v>415</v>
      </c>
      <c r="J113" s="217">
        <v>387</v>
      </c>
      <c r="K113" s="218">
        <v>17</v>
      </c>
      <c r="L113" s="216" t="s">
        <v>417</v>
      </c>
      <c r="M113" s="216" t="s">
        <v>424</v>
      </c>
      <c r="N113" s="219" t="s">
        <v>425</v>
      </c>
      <c r="O113" s="221">
        <v>4570023.5999999996</v>
      </c>
      <c r="P113" s="221">
        <v>0</v>
      </c>
      <c r="Q113" s="221">
        <v>0</v>
      </c>
      <c r="R113" s="221">
        <v>0</v>
      </c>
      <c r="S113" s="221">
        <f>O113-P113-Q113-R113</f>
        <v>4570023.5999999996</v>
      </c>
      <c r="T113" s="221">
        <f t="shared" si="32"/>
        <v>11012.105060240963</v>
      </c>
      <c r="U113" s="221">
        <v>11219.29</v>
      </c>
      <c r="V113" s="27">
        <f t="shared" si="19"/>
        <v>0</v>
      </c>
      <c r="CR113" s="1"/>
    </row>
    <row r="114" spans="1:96" s="60" customFormat="1" ht="35.25" x14ac:dyDescent="0.5">
      <c r="B114" s="236" t="s">
        <v>508</v>
      </c>
      <c r="C114" s="236"/>
      <c r="D114" s="216" t="s">
        <v>422</v>
      </c>
      <c r="E114" s="216" t="s">
        <v>422</v>
      </c>
      <c r="F114" s="216" t="s">
        <v>422</v>
      </c>
      <c r="G114" s="216" t="s">
        <v>422</v>
      </c>
      <c r="H114" s="216" t="s">
        <v>422</v>
      </c>
      <c r="I114" s="217">
        <f>I115+I116</f>
        <v>1678.1999999999998</v>
      </c>
      <c r="J114" s="217">
        <f t="shared" ref="J114:K114" si="39">J115+J116</f>
        <v>1625.4</v>
      </c>
      <c r="K114" s="218">
        <f t="shared" si="39"/>
        <v>91</v>
      </c>
      <c r="L114" s="216" t="s">
        <v>422</v>
      </c>
      <c r="M114" s="216" t="s">
        <v>422</v>
      </c>
      <c r="N114" s="219" t="s">
        <v>422</v>
      </c>
      <c r="O114" s="221">
        <v>12256188.469999999</v>
      </c>
      <c r="P114" s="221">
        <f>P115+P116</f>
        <v>0</v>
      </c>
      <c r="Q114" s="221">
        <f t="shared" ref="Q114:S114" si="40">Q115+Q116</f>
        <v>0</v>
      </c>
      <c r="R114" s="221">
        <f t="shared" si="40"/>
        <v>0</v>
      </c>
      <c r="S114" s="221">
        <f t="shared" si="40"/>
        <v>12256188.469999999</v>
      </c>
      <c r="T114" s="221">
        <f t="shared" si="32"/>
        <v>7303.1751102371591</v>
      </c>
      <c r="U114" s="221">
        <f>MAX(U115:U116)</f>
        <v>9056.2199999999993</v>
      </c>
      <c r="V114" s="27">
        <f t="shared" si="19"/>
        <v>0</v>
      </c>
      <c r="CR114" s="61"/>
    </row>
    <row r="115" spans="1:96" ht="35.25" x14ac:dyDescent="0.5">
      <c r="A115">
        <v>1</v>
      </c>
      <c r="B115" s="223">
        <f>SUBTOTAL(9,$A$16:A115)</f>
        <v>90</v>
      </c>
      <c r="C115" s="229" t="s">
        <v>591</v>
      </c>
      <c r="D115" s="239"/>
      <c r="E115" s="216">
        <v>1979</v>
      </c>
      <c r="F115" s="216" t="s">
        <v>419</v>
      </c>
      <c r="G115" s="216">
        <v>2</v>
      </c>
      <c r="H115" s="216" t="s">
        <v>326</v>
      </c>
      <c r="I115" s="217">
        <v>1070.8</v>
      </c>
      <c r="J115" s="217">
        <v>1070.8</v>
      </c>
      <c r="K115" s="218">
        <v>57</v>
      </c>
      <c r="L115" s="216" t="s">
        <v>417</v>
      </c>
      <c r="M115" s="216" t="s">
        <v>426</v>
      </c>
      <c r="N115" s="219" t="s">
        <v>592</v>
      </c>
      <c r="O115" s="228">
        <v>6070660.6799999997</v>
      </c>
      <c r="P115" s="228">
        <v>0</v>
      </c>
      <c r="Q115" s="228">
        <v>0</v>
      </c>
      <c r="R115" s="228">
        <v>0</v>
      </c>
      <c r="S115" s="228">
        <f t="shared" ref="S115:S116" si="41">O115-Q115-R115</f>
        <v>6070660.6799999997</v>
      </c>
      <c r="T115" s="235">
        <f t="shared" si="32"/>
        <v>5669.2759432200228</v>
      </c>
      <c r="U115" s="228">
        <v>8434.39</v>
      </c>
      <c r="V115" s="27">
        <f t="shared" si="19"/>
        <v>0</v>
      </c>
      <c r="W115" s="36"/>
      <c r="X115" s="36"/>
      <c r="Y115" s="36"/>
      <c r="Z115" s="36"/>
      <c r="AA115" s="34"/>
      <c r="AB115" s="1"/>
      <c r="AD115" s="37"/>
      <c r="BU115" s="1"/>
      <c r="CN115" s="1"/>
      <c r="CR115" s="1"/>
    </row>
    <row r="116" spans="1:96" ht="35.25" x14ac:dyDescent="0.5">
      <c r="A116">
        <v>1</v>
      </c>
      <c r="B116" s="223">
        <f>SUBTOTAL(9,$A$16:A116)</f>
        <v>91</v>
      </c>
      <c r="C116" s="226" t="s">
        <v>665</v>
      </c>
      <c r="D116" s="227"/>
      <c r="E116" s="216">
        <v>1981</v>
      </c>
      <c r="F116" s="216" t="s">
        <v>419</v>
      </c>
      <c r="G116" s="216">
        <v>2</v>
      </c>
      <c r="H116" s="216" t="s">
        <v>319</v>
      </c>
      <c r="I116" s="217">
        <v>607.4</v>
      </c>
      <c r="J116" s="217">
        <v>554.6</v>
      </c>
      <c r="K116" s="218">
        <v>34</v>
      </c>
      <c r="L116" s="216" t="s">
        <v>417</v>
      </c>
      <c r="M116" s="216" t="s">
        <v>424</v>
      </c>
      <c r="N116" s="219" t="s">
        <v>425</v>
      </c>
      <c r="O116" s="228">
        <v>6185527.79</v>
      </c>
      <c r="P116" s="228">
        <v>0</v>
      </c>
      <c r="Q116" s="228">
        <v>0</v>
      </c>
      <c r="R116" s="228">
        <v>0</v>
      </c>
      <c r="S116" s="228">
        <f t="shared" si="41"/>
        <v>6185527.79</v>
      </c>
      <c r="T116" s="235">
        <f t="shared" si="32"/>
        <v>10183.615064208101</v>
      </c>
      <c r="U116" s="228">
        <v>9056.2199999999993</v>
      </c>
      <c r="V116" s="27">
        <f t="shared" si="19"/>
        <v>0</v>
      </c>
      <c r="W116" s="33">
        <v>0</v>
      </c>
      <c r="X116" s="33">
        <v>0</v>
      </c>
      <c r="Y116" s="33">
        <v>0</v>
      </c>
      <c r="Z116" s="33">
        <v>0</v>
      </c>
      <c r="AA116" s="34"/>
      <c r="AB116" s="1">
        <f>O116-P116-Q116-R116-S116</f>
        <v>0</v>
      </c>
      <c r="AD116" s="35">
        <v>0</v>
      </c>
      <c r="AE116">
        <f>AD116*8294.83/I116</f>
        <v>0</v>
      </c>
      <c r="BU116" s="1">
        <f>U116-T116</f>
        <v>-1127.3950642081018</v>
      </c>
      <c r="CN116" s="1"/>
    </row>
    <row r="117" spans="1:96" ht="35.25" x14ac:dyDescent="0.5">
      <c r="B117" s="236" t="s">
        <v>690</v>
      </c>
      <c r="C117" s="236"/>
      <c r="D117" s="216" t="s">
        <v>422</v>
      </c>
      <c r="E117" s="216" t="s">
        <v>422</v>
      </c>
      <c r="F117" s="216" t="s">
        <v>422</v>
      </c>
      <c r="G117" s="216" t="s">
        <v>422</v>
      </c>
      <c r="H117" s="216" t="s">
        <v>422</v>
      </c>
      <c r="I117" s="217">
        <f>SUM(I118:I123)</f>
        <v>4884.8599999999997</v>
      </c>
      <c r="J117" s="217">
        <f t="shared" ref="J117:K117" si="42">SUM(J118:J123)</f>
        <v>3990.7000000000003</v>
      </c>
      <c r="K117" s="218">
        <f t="shared" si="42"/>
        <v>174</v>
      </c>
      <c r="L117" s="216" t="s">
        <v>422</v>
      </c>
      <c r="M117" s="216" t="s">
        <v>422</v>
      </c>
      <c r="N117" s="219" t="s">
        <v>422</v>
      </c>
      <c r="O117" s="221">
        <f>SUM(O118:O123)</f>
        <v>32167975.77</v>
      </c>
      <c r="P117" s="221">
        <f t="shared" ref="P117:S117" si="43">SUM(P118:P123)</f>
        <v>0</v>
      </c>
      <c r="Q117" s="221">
        <f t="shared" si="43"/>
        <v>0</v>
      </c>
      <c r="R117" s="221">
        <f t="shared" si="43"/>
        <v>0</v>
      </c>
      <c r="S117" s="221">
        <f t="shared" si="43"/>
        <v>32167975.77</v>
      </c>
      <c r="T117" s="221">
        <f t="shared" si="32"/>
        <v>6585.2400621512188</v>
      </c>
      <c r="U117" s="221">
        <f>MAX(U118:U123)</f>
        <v>13755.84</v>
      </c>
      <c r="V117" s="27">
        <f t="shared" si="19"/>
        <v>0</v>
      </c>
      <c r="CR117" s="1"/>
    </row>
    <row r="118" spans="1:96" ht="35.25" x14ac:dyDescent="0.5">
      <c r="A118">
        <v>1</v>
      </c>
      <c r="B118" s="223">
        <f>SUBTOTAL(9,$A$16:A118)</f>
        <v>92</v>
      </c>
      <c r="C118" s="225" t="s">
        <v>582</v>
      </c>
      <c r="D118" s="216"/>
      <c r="E118" s="216">
        <v>1971</v>
      </c>
      <c r="F118" s="216" t="s">
        <v>420</v>
      </c>
      <c r="G118" s="216">
        <v>2</v>
      </c>
      <c r="H118" s="216">
        <v>3</v>
      </c>
      <c r="I118" s="217">
        <v>915</v>
      </c>
      <c r="J118" s="217">
        <v>606</v>
      </c>
      <c r="K118" s="218">
        <v>28</v>
      </c>
      <c r="L118" s="216" t="s">
        <v>417</v>
      </c>
      <c r="M118" s="216" t="s">
        <v>423</v>
      </c>
      <c r="N118" s="219" t="s">
        <v>441</v>
      </c>
      <c r="O118" s="221">
        <v>9163586.9199999999</v>
      </c>
      <c r="P118" s="221">
        <v>0</v>
      </c>
      <c r="Q118" s="221">
        <v>0</v>
      </c>
      <c r="R118" s="221">
        <v>0</v>
      </c>
      <c r="S118" s="221">
        <f t="shared" ref="S118:S123" si="44">O118-P118-Q118-R118</f>
        <v>9163586.9199999999</v>
      </c>
      <c r="T118" s="221">
        <f t="shared" si="32"/>
        <v>10014.849092896175</v>
      </c>
      <c r="U118" s="221">
        <v>10891.2</v>
      </c>
      <c r="V118" s="27">
        <f t="shared" si="19"/>
        <v>0</v>
      </c>
      <c r="CR118" s="1"/>
    </row>
    <row r="119" spans="1:96" ht="35.25" x14ac:dyDescent="0.5">
      <c r="A119">
        <v>1</v>
      </c>
      <c r="B119" s="223">
        <f>SUBTOTAL(9,$A$16:A119)</f>
        <v>93</v>
      </c>
      <c r="C119" s="225" t="s">
        <v>169</v>
      </c>
      <c r="D119" s="216"/>
      <c r="E119" s="216">
        <v>1994</v>
      </c>
      <c r="F119" s="216" t="s">
        <v>420</v>
      </c>
      <c r="G119" s="216">
        <v>2</v>
      </c>
      <c r="H119" s="216" t="s">
        <v>319</v>
      </c>
      <c r="I119" s="217">
        <v>1021.8</v>
      </c>
      <c r="J119" s="217">
        <v>621.4</v>
      </c>
      <c r="K119" s="218">
        <v>23</v>
      </c>
      <c r="L119" s="216" t="s">
        <v>417</v>
      </c>
      <c r="M119" s="216" t="s">
        <v>424</v>
      </c>
      <c r="N119" s="219" t="s">
        <v>425</v>
      </c>
      <c r="O119" s="221">
        <v>5166895.43</v>
      </c>
      <c r="P119" s="221">
        <v>0</v>
      </c>
      <c r="Q119" s="221">
        <v>0</v>
      </c>
      <c r="R119" s="221">
        <v>0</v>
      </c>
      <c r="S119" s="221">
        <f t="shared" si="44"/>
        <v>5166895.43</v>
      </c>
      <c r="T119" s="221">
        <f t="shared" si="32"/>
        <v>5056.660236836954</v>
      </c>
      <c r="U119" s="221">
        <v>6130.21</v>
      </c>
      <c r="V119" s="27">
        <f t="shared" si="19"/>
        <v>0</v>
      </c>
      <c r="CR119" s="1"/>
    </row>
    <row r="120" spans="1:96" ht="35.25" x14ac:dyDescent="0.5">
      <c r="A120">
        <v>1</v>
      </c>
      <c r="B120" s="223">
        <f>SUBTOTAL(9,$A$16:A120)</f>
        <v>94</v>
      </c>
      <c r="C120" s="225" t="s">
        <v>581</v>
      </c>
      <c r="D120" s="216"/>
      <c r="E120" s="216">
        <v>1970</v>
      </c>
      <c r="F120" s="216" t="s">
        <v>419</v>
      </c>
      <c r="G120" s="216">
        <v>2</v>
      </c>
      <c r="H120" s="216">
        <v>2</v>
      </c>
      <c r="I120" s="217">
        <v>561.29999999999995</v>
      </c>
      <c r="J120" s="217">
        <v>513.29999999999995</v>
      </c>
      <c r="K120" s="218">
        <v>19</v>
      </c>
      <c r="L120" s="216" t="s">
        <v>417</v>
      </c>
      <c r="M120" s="216" t="s">
        <v>424</v>
      </c>
      <c r="N120" s="219" t="s">
        <v>425</v>
      </c>
      <c r="O120" s="221">
        <v>5490144.4199999999</v>
      </c>
      <c r="P120" s="221">
        <v>0</v>
      </c>
      <c r="Q120" s="221">
        <v>0</v>
      </c>
      <c r="R120" s="221">
        <v>0</v>
      </c>
      <c r="S120" s="221">
        <f t="shared" si="44"/>
        <v>5490144.4199999999</v>
      </c>
      <c r="T120" s="221">
        <f t="shared" si="32"/>
        <v>9781.1231427044368</v>
      </c>
      <c r="U120" s="221">
        <v>10950.8</v>
      </c>
      <c r="V120" s="27">
        <f t="shared" si="19"/>
        <v>0</v>
      </c>
      <c r="CR120" s="1"/>
    </row>
    <row r="121" spans="1:96" ht="35.25" x14ac:dyDescent="0.5">
      <c r="A121">
        <v>1</v>
      </c>
      <c r="B121" s="223">
        <f>SUBTOTAL(9,$A$16:A121)</f>
        <v>95</v>
      </c>
      <c r="C121" s="225" t="s">
        <v>170</v>
      </c>
      <c r="D121" s="216"/>
      <c r="E121" s="216">
        <v>1976</v>
      </c>
      <c r="F121" s="216" t="s">
        <v>419</v>
      </c>
      <c r="G121" s="216">
        <v>2</v>
      </c>
      <c r="H121" s="216" t="s">
        <v>319</v>
      </c>
      <c r="I121" s="217">
        <v>761.6</v>
      </c>
      <c r="J121" s="217">
        <v>761.6</v>
      </c>
      <c r="K121" s="218">
        <v>42</v>
      </c>
      <c r="L121" s="216" t="s">
        <v>417</v>
      </c>
      <c r="M121" s="216" t="s">
        <v>424</v>
      </c>
      <c r="N121" s="219" t="s">
        <v>425</v>
      </c>
      <c r="O121" s="221">
        <v>1481002.68</v>
      </c>
      <c r="P121" s="221">
        <v>0</v>
      </c>
      <c r="Q121" s="221">
        <v>0</v>
      </c>
      <c r="R121" s="221">
        <v>0</v>
      </c>
      <c r="S121" s="221">
        <f t="shared" si="44"/>
        <v>1481002.68</v>
      </c>
      <c r="T121" s="221">
        <f t="shared" si="32"/>
        <v>1944.5938550420167</v>
      </c>
      <c r="U121" s="221">
        <v>2668.39</v>
      </c>
      <c r="V121" s="27">
        <f t="shared" si="19"/>
        <v>0</v>
      </c>
      <c r="CR121" s="1"/>
    </row>
    <row r="122" spans="1:96" ht="35.25" x14ac:dyDescent="0.5">
      <c r="A122">
        <v>1</v>
      </c>
      <c r="B122" s="223">
        <f>SUBTOTAL(9,$A$16:A122)</f>
        <v>96</v>
      </c>
      <c r="C122" s="225" t="s">
        <v>607</v>
      </c>
      <c r="D122" s="216"/>
      <c r="E122" s="216">
        <v>1979</v>
      </c>
      <c r="F122" s="216" t="s">
        <v>420</v>
      </c>
      <c r="G122" s="216">
        <v>3</v>
      </c>
      <c r="H122" s="216">
        <v>2</v>
      </c>
      <c r="I122" s="217">
        <v>1011.8</v>
      </c>
      <c r="J122" s="217">
        <v>928.8</v>
      </c>
      <c r="K122" s="218">
        <v>25</v>
      </c>
      <c r="L122" s="216" t="s">
        <v>417</v>
      </c>
      <c r="M122" s="216" t="s">
        <v>424</v>
      </c>
      <c r="N122" s="219" t="s">
        <v>425</v>
      </c>
      <c r="O122" s="221">
        <v>2513172</v>
      </c>
      <c r="P122" s="221">
        <v>0</v>
      </c>
      <c r="Q122" s="221">
        <v>0</v>
      </c>
      <c r="R122" s="221">
        <v>0</v>
      </c>
      <c r="S122" s="221">
        <f t="shared" si="44"/>
        <v>2513172</v>
      </c>
      <c r="T122" s="221">
        <f t="shared" si="32"/>
        <v>2483.8624234038348</v>
      </c>
      <c r="U122" s="221">
        <v>4810.4399999999996</v>
      </c>
      <c r="V122" s="27">
        <f t="shared" si="19"/>
        <v>0</v>
      </c>
      <c r="CR122" s="1"/>
    </row>
    <row r="123" spans="1:96" ht="35.25" x14ac:dyDescent="0.5">
      <c r="A123">
        <v>1</v>
      </c>
      <c r="B123" s="223">
        <f>SUBTOTAL(9,$A$16:A123)</f>
        <v>97</v>
      </c>
      <c r="C123" s="225" t="s">
        <v>580</v>
      </c>
      <c r="D123" s="216"/>
      <c r="E123" s="216">
        <v>1976</v>
      </c>
      <c r="F123" s="216" t="s">
        <v>419</v>
      </c>
      <c r="G123" s="216">
        <v>2</v>
      </c>
      <c r="H123" s="216">
        <v>3</v>
      </c>
      <c r="I123" s="217">
        <v>613.36</v>
      </c>
      <c r="J123" s="217">
        <v>559.6</v>
      </c>
      <c r="K123" s="218">
        <v>37</v>
      </c>
      <c r="L123" s="216" t="s">
        <v>417</v>
      </c>
      <c r="M123" s="216" t="s">
        <v>423</v>
      </c>
      <c r="N123" s="219" t="s">
        <v>584</v>
      </c>
      <c r="O123" s="221">
        <v>8353174.3200000003</v>
      </c>
      <c r="P123" s="221">
        <v>0</v>
      </c>
      <c r="Q123" s="221">
        <v>0</v>
      </c>
      <c r="R123" s="221">
        <v>0</v>
      </c>
      <c r="S123" s="221">
        <f t="shared" si="44"/>
        <v>8353174.3200000003</v>
      </c>
      <c r="T123" s="221">
        <f t="shared" si="32"/>
        <v>13618.71383852876</v>
      </c>
      <c r="U123" s="221">
        <v>13755.84</v>
      </c>
      <c r="V123" s="27">
        <f t="shared" si="19"/>
        <v>0</v>
      </c>
      <c r="CR123" s="1"/>
    </row>
    <row r="124" spans="1:96" ht="35.25" x14ac:dyDescent="0.5">
      <c r="B124" s="215" t="s">
        <v>689</v>
      </c>
      <c r="C124" s="215"/>
      <c r="D124" s="216" t="s">
        <v>422</v>
      </c>
      <c r="E124" s="216" t="s">
        <v>422</v>
      </c>
      <c r="F124" s="216" t="s">
        <v>422</v>
      </c>
      <c r="G124" s="216" t="s">
        <v>422</v>
      </c>
      <c r="H124" s="216" t="s">
        <v>422</v>
      </c>
      <c r="I124" s="217">
        <f>I125+I126+I127</f>
        <v>2204.5</v>
      </c>
      <c r="J124" s="217">
        <f t="shared" ref="J124:K124" si="45">J125+J126+J127</f>
        <v>1227.4000000000001</v>
      </c>
      <c r="K124" s="218">
        <f t="shared" si="45"/>
        <v>47</v>
      </c>
      <c r="L124" s="216" t="s">
        <v>422</v>
      </c>
      <c r="M124" s="216" t="s">
        <v>422</v>
      </c>
      <c r="N124" s="219" t="s">
        <v>422</v>
      </c>
      <c r="O124" s="221">
        <v>14952717.49</v>
      </c>
      <c r="P124" s="221">
        <f t="shared" ref="P124:S124" si="46">P125+P126+P127</f>
        <v>0</v>
      </c>
      <c r="Q124" s="221">
        <f t="shared" si="46"/>
        <v>0</v>
      </c>
      <c r="R124" s="221">
        <f t="shared" si="46"/>
        <v>0</v>
      </c>
      <c r="S124" s="221">
        <f t="shared" si="46"/>
        <v>14952717.49</v>
      </c>
      <c r="T124" s="221">
        <f t="shared" ref="T124:T154" si="47">O124/I124</f>
        <v>6782.815826718077</v>
      </c>
      <c r="U124" s="221">
        <f>MAX(U125:U127)</f>
        <v>20975.3</v>
      </c>
      <c r="V124" s="27">
        <f t="shared" si="19"/>
        <v>0</v>
      </c>
      <c r="CR124" s="1"/>
    </row>
    <row r="125" spans="1:96" ht="35.25" x14ac:dyDescent="0.5">
      <c r="A125">
        <v>1</v>
      </c>
      <c r="B125" s="223">
        <f>SUBTOTAL(9,$A$16:A125)</f>
        <v>98</v>
      </c>
      <c r="C125" s="225" t="s">
        <v>175</v>
      </c>
      <c r="D125" s="216"/>
      <c r="E125" s="216">
        <v>1970</v>
      </c>
      <c r="F125" s="216" t="s">
        <v>419</v>
      </c>
      <c r="G125" s="216">
        <v>2</v>
      </c>
      <c r="H125" s="216" t="s">
        <v>317</v>
      </c>
      <c r="I125" s="217">
        <v>363.8</v>
      </c>
      <c r="J125" s="217">
        <v>363.8</v>
      </c>
      <c r="K125" s="218">
        <v>8</v>
      </c>
      <c r="L125" s="216" t="s">
        <v>417</v>
      </c>
      <c r="M125" s="216" t="s">
        <v>424</v>
      </c>
      <c r="N125" s="219" t="s">
        <v>425</v>
      </c>
      <c r="O125" s="221">
        <v>4196587.8499999996</v>
      </c>
      <c r="P125" s="221">
        <v>0</v>
      </c>
      <c r="Q125" s="221">
        <v>0</v>
      </c>
      <c r="R125" s="221">
        <v>0</v>
      </c>
      <c r="S125" s="221">
        <f>O125-P125-Q125-R125</f>
        <v>4196587.8499999996</v>
      </c>
      <c r="T125" s="221">
        <f t="shared" si="47"/>
        <v>11535.425645959316</v>
      </c>
      <c r="U125" s="221">
        <v>12442.75</v>
      </c>
      <c r="V125" s="27">
        <f t="shared" si="19"/>
        <v>0</v>
      </c>
      <c r="CR125" s="1"/>
    </row>
    <row r="126" spans="1:96" ht="35.25" x14ac:dyDescent="0.5">
      <c r="A126">
        <v>1</v>
      </c>
      <c r="B126" s="223">
        <f>SUBTOTAL(9,$A$16:A126)</f>
        <v>99</v>
      </c>
      <c r="C126" s="225" t="s">
        <v>176</v>
      </c>
      <c r="D126" s="216"/>
      <c r="E126" s="216">
        <v>1972</v>
      </c>
      <c r="F126" s="216" t="s">
        <v>419</v>
      </c>
      <c r="G126" s="216">
        <v>2</v>
      </c>
      <c r="H126" s="216" t="s">
        <v>326</v>
      </c>
      <c r="I126" s="217">
        <v>1541.1</v>
      </c>
      <c r="J126" s="217">
        <v>586.9</v>
      </c>
      <c r="K126" s="218">
        <v>22</v>
      </c>
      <c r="L126" s="216" t="s">
        <v>417</v>
      </c>
      <c r="M126" s="216" t="s">
        <v>424</v>
      </c>
      <c r="N126" s="219" t="s">
        <v>425</v>
      </c>
      <c r="O126" s="221">
        <v>7493127.1600000001</v>
      </c>
      <c r="P126" s="221">
        <v>0</v>
      </c>
      <c r="Q126" s="221">
        <v>0</v>
      </c>
      <c r="R126" s="221">
        <v>0</v>
      </c>
      <c r="S126" s="221">
        <f>O126-P126-Q126-R126</f>
        <v>7493127.1600000001</v>
      </c>
      <c r="T126" s="221">
        <f t="shared" si="47"/>
        <v>4862.1939913049127</v>
      </c>
      <c r="U126" s="221">
        <v>9413.75</v>
      </c>
      <c r="V126" s="27">
        <f t="shared" si="19"/>
        <v>0</v>
      </c>
      <c r="CR126" s="1"/>
    </row>
    <row r="127" spans="1:96" ht="35.25" x14ac:dyDescent="0.5">
      <c r="A127">
        <v>1</v>
      </c>
      <c r="B127" s="223">
        <f>SUBTOTAL(9,$A$16:A127)</f>
        <v>100</v>
      </c>
      <c r="C127" s="225" t="s">
        <v>179</v>
      </c>
      <c r="D127" s="216"/>
      <c r="E127" s="216">
        <v>1961</v>
      </c>
      <c r="F127" s="216" t="s">
        <v>419</v>
      </c>
      <c r="G127" s="216">
        <v>2</v>
      </c>
      <c r="H127" s="216" t="s">
        <v>317</v>
      </c>
      <c r="I127" s="217">
        <v>299.60000000000002</v>
      </c>
      <c r="J127" s="217">
        <v>276.7</v>
      </c>
      <c r="K127" s="218">
        <v>17</v>
      </c>
      <c r="L127" s="216" t="s">
        <v>417</v>
      </c>
      <c r="M127" s="216" t="s">
        <v>424</v>
      </c>
      <c r="N127" s="219" t="s">
        <v>425</v>
      </c>
      <c r="O127" s="221">
        <v>3263002.48</v>
      </c>
      <c r="P127" s="221">
        <v>0</v>
      </c>
      <c r="Q127" s="221">
        <v>0</v>
      </c>
      <c r="R127" s="221">
        <v>0</v>
      </c>
      <c r="S127" s="221">
        <f>O127-P127-Q127-R127</f>
        <v>3263002.48</v>
      </c>
      <c r="T127" s="221">
        <f t="shared" si="47"/>
        <v>10891.196528704939</v>
      </c>
      <c r="U127" s="221">
        <v>20975.3</v>
      </c>
      <c r="V127" s="27">
        <f t="shared" si="19"/>
        <v>0</v>
      </c>
      <c r="CR127" s="1"/>
    </row>
    <row r="128" spans="1:96" ht="35.25" x14ac:dyDescent="0.5">
      <c r="B128" s="215" t="s">
        <v>686</v>
      </c>
      <c r="C128" s="215"/>
      <c r="D128" s="216" t="s">
        <v>422</v>
      </c>
      <c r="E128" s="216" t="s">
        <v>422</v>
      </c>
      <c r="F128" s="216" t="s">
        <v>422</v>
      </c>
      <c r="G128" s="216" t="s">
        <v>422</v>
      </c>
      <c r="H128" s="216" t="s">
        <v>422</v>
      </c>
      <c r="I128" s="217">
        <f>I129+I130+I131+I132</f>
        <v>3620.6</v>
      </c>
      <c r="J128" s="217">
        <f t="shared" ref="J128:K128" si="48">J129+J130+J131+J132</f>
        <v>2513.1000000000004</v>
      </c>
      <c r="K128" s="218">
        <f t="shared" si="48"/>
        <v>129</v>
      </c>
      <c r="L128" s="216" t="s">
        <v>422</v>
      </c>
      <c r="M128" s="216" t="s">
        <v>422</v>
      </c>
      <c r="N128" s="219" t="s">
        <v>422</v>
      </c>
      <c r="O128" s="221">
        <f>O129+O130+O131+O132</f>
        <v>59468472.069999993</v>
      </c>
      <c r="P128" s="221">
        <f t="shared" ref="P128:S128" si="49">P129+P130+P131+P132</f>
        <v>0</v>
      </c>
      <c r="Q128" s="221">
        <f t="shared" si="49"/>
        <v>0</v>
      </c>
      <c r="R128" s="221">
        <f t="shared" si="49"/>
        <v>42522199.980000004</v>
      </c>
      <c r="S128" s="221">
        <f t="shared" si="49"/>
        <v>16946272.089999996</v>
      </c>
      <c r="T128" s="221">
        <f t="shared" si="47"/>
        <v>16425.03233441971</v>
      </c>
      <c r="U128" s="221">
        <f>MAX(U129:U132)</f>
        <v>40233.86</v>
      </c>
      <c r="V128" s="27">
        <f t="shared" si="19"/>
        <v>0</v>
      </c>
      <c r="CR128" s="1"/>
    </row>
    <row r="129" spans="1:96" ht="35.25" x14ac:dyDescent="0.5">
      <c r="A129">
        <v>1</v>
      </c>
      <c r="B129" s="223">
        <f>SUBTOTAL(9,$A$16:A129)</f>
        <v>101</v>
      </c>
      <c r="C129" s="225" t="s">
        <v>589</v>
      </c>
      <c r="D129" s="216"/>
      <c r="E129" s="216">
        <v>1981</v>
      </c>
      <c r="F129" s="216" t="s">
        <v>419</v>
      </c>
      <c r="G129" s="216">
        <v>2</v>
      </c>
      <c r="H129" s="216">
        <v>3</v>
      </c>
      <c r="I129" s="217">
        <v>1026</v>
      </c>
      <c r="J129" s="217">
        <v>920.3</v>
      </c>
      <c r="K129" s="218">
        <v>36</v>
      </c>
      <c r="L129" s="216" t="s">
        <v>417</v>
      </c>
      <c r="M129" s="216" t="s">
        <v>423</v>
      </c>
      <c r="N129" s="219" t="s">
        <v>590</v>
      </c>
      <c r="O129" s="221">
        <v>9891909.9899999984</v>
      </c>
      <c r="P129" s="221">
        <v>0</v>
      </c>
      <c r="Q129" s="221">
        <v>0</v>
      </c>
      <c r="R129" s="221">
        <v>0</v>
      </c>
      <c r="S129" s="221">
        <f>O129-P129-Q129-R129</f>
        <v>9891909.9899999984</v>
      </c>
      <c r="T129" s="221">
        <f t="shared" si="47"/>
        <v>9641.2378070175419</v>
      </c>
      <c r="U129" s="221">
        <v>11135.54</v>
      </c>
      <c r="V129" s="27">
        <f t="shared" si="19"/>
        <v>0</v>
      </c>
      <c r="CR129" s="1"/>
    </row>
    <row r="130" spans="1:96" ht="35.25" x14ac:dyDescent="0.5">
      <c r="A130">
        <v>1</v>
      </c>
      <c r="B130" s="223">
        <f>SUBTOTAL(9,$A$16:A130)</f>
        <v>102</v>
      </c>
      <c r="C130" s="225" t="s">
        <v>687</v>
      </c>
      <c r="D130" s="216"/>
      <c r="E130" s="216">
        <v>1981</v>
      </c>
      <c r="F130" s="216" t="s">
        <v>419</v>
      </c>
      <c r="G130" s="216">
        <v>2</v>
      </c>
      <c r="H130" s="216">
        <v>2</v>
      </c>
      <c r="I130" s="217">
        <v>1300.5999999999999</v>
      </c>
      <c r="J130" s="217">
        <v>792.1</v>
      </c>
      <c r="K130" s="218">
        <v>42</v>
      </c>
      <c r="L130" s="216" t="s">
        <v>417</v>
      </c>
      <c r="M130" s="216" t="s">
        <v>424</v>
      </c>
      <c r="N130" s="219" t="s">
        <v>425</v>
      </c>
      <c r="O130" s="221">
        <v>7054362.0999999996</v>
      </c>
      <c r="P130" s="221">
        <v>0</v>
      </c>
      <c r="Q130" s="221">
        <v>0</v>
      </c>
      <c r="R130" s="221">
        <v>0</v>
      </c>
      <c r="S130" s="221">
        <f>O130-P130-Q130-R130</f>
        <v>7054362.0999999996</v>
      </c>
      <c r="T130" s="221">
        <f t="shared" si="47"/>
        <v>5423.9290327541139</v>
      </c>
      <c r="U130" s="221">
        <v>6812.83</v>
      </c>
      <c r="V130" s="27">
        <f t="shared" si="19"/>
        <v>0</v>
      </c>
      <c r="CR130" s="1"/>
    </row>
    <row r="131" spans="1:96" ht="35.25" x14ac:dyDescent="0.5">
      <c r="A131">
        <v>1</v>
      </c>
      <c r="B131" s="223">
        <f>SUBTOTAL(9,$A$16:A131)</f>
        <v>103</v>
      </c>
      <c r="C131" s="225" t="s">
        <v>716</v>
      </c>
      <c r="D131" s="216"/>
      <c r="E131" s="216">
        <v>1992</v>
      </c>
      <c r="F131" s="216" t="s">
        <v>420</v>
      </c>
      <c r="G131" s="216">
        <v>2</v>
      </c>
      <c r="H131" s="216">
        <v>2</v>
      </c>
      <c r="I131" s="217">
        <v>574</v>
      </c>
      <c r="J131" s="217">
        <v>325.7</v>
      </c>
      <c r="K131" s="218">
        <v>31</v>
      </c>
      <c r="L131" s="216" t="s">
        <v>417</v>
      </c>
      <c r="M131" s="216" t="s">
        <v>424</v>
      </c>
      <c r="N131" s="219" t="s">
        <v>425</v>
      </c>
      <c r="O131" s="221">
        <v>23105714.419999998</v>
      </c>
      <c r="P131" s="221">
        <v>0</v>
      </c>
      <c r="Q131" s="221">
        <v>0</v>
      </c>
      <c r="R131" s="221">
        <f>O131</f>
        <v>23105714.419999998</v>
      </c>
      <c r="S131" s="221">
        <f>O131-P131-R131-Q131</f>
        <v>0</v>
      </c>
      <c r="T131" s="221">
        <f>O131/I131</f>
        <v>40253.857874564455</v>
      </c>
      <c r="U131" s="221">
        <v>40233.86</v>
      </c>
      <c r="V131" s="27">
        <f t="shared" si="19"/>
        <v>0</v>
      </c>
      <c r="CR131" s="1"/>
    </row>
    <row r="132" spans="1:96" ht="35.25" x14ac:dyDescent="0.5">
      <c r="A132">
        <v>1</v>
      </c>
      <c r="B132" s="223">
        <f>SUBTOTAL(9,$A$16:A132)</f>
        <v>104</v>
      </c>
      <c r="C132" s="225" t="s">
        <v>717</v>
      </c>
      <c r="D132" s="216"/>
      <c r="E132" s="216">
        <v>1967</v>
      </c>
      <c r="F132" s="216" t="s">
        <v>419</v>
      </c>
      <c r="G132" s="216">
        <v>2</v>
      </c>
      <c r="H132" s="216">
        <v>2</v>
      </c>
      <c r="I132" s="217">
        <v>720</v>
      </c>
      <c r="J132" s="217">
        <v>475</v>
      </c>
      <c r="K132" s="218">
        <v>20</v>
      </c>
      <c r="L132" s="216" t="s">
        <v>417</v>
      </c>
      <c r="M132" s="216" t="s">
        <v>424</v>
      </c>
      <c r="N132" s="219" t="s">
        <v>425</v>
      </c>
      <c r="O132" s="221">
        <v>19416485.560000002</v>
      </c>
      <c r="P132" s="221">
        <v>0</v>
      </c>
      <c r="Q132" s="221">
        <v>0</v>
      </c>
      <c r="R132" s="221">
        <f>O132</f>
        <v>19416485.560000002</v>
      </c>
      <c r="S132" s="221">
        <f>O132-P132-R132-Q132</f>
        <v>0</v>
      </c>
      <c r="T132" s="221">
        <f t="shared" si="47"/>
        <v>26967.34105555556</v>
      </c>
      <c r="U132" s="221">
        <v>26967.34</v>
      </c>
      <c r="V132" s="27">
        <f t="shared" si="19"/>
        <v>0</v>
      </c>
      <c r="CR132" s="1"/>
    </row>
    <row r="133" spans="1:96" ht="35.25" x14ac:dyDescent="0.5">
      <c r="B133" s="215" t="s">
        <v>691</v>
      </c>
      <c r="C133" s="215"/>
      <c r="D133" s="216" t="s">
        <v>422</v>
      </c>
      <c r="E133" s="216" t="s">
        <v>422</v>
      </c>
      <c r="F133" s="216" t="s">
        <v>422</v>
      </c>
      <c r="G133" s="216" t="s">
        <v>422</v>
      </c>
      <c r="H133" s="216" t="s">
        <v>422</v>
      </c>
      <c r="I133" s="217">
        <f>SUM(I134:I137)</f>
        <v>13392.179999999998</v>
      </c>
      <c r="J133" s="217">
        <f t="shared" ref="J133:K133" si="50">SUM(J134:J137)</f>
        <v>8047.58</v>
      </c>
      <c r="K133" s="218">
        <f t="shared" si="50"/>
        <v>408</v>
      </c>
      <c r="L133" s="216" t="s">
        <v>422</v>
      </c>
      <c r="M133" s="216" t="s">
        <v>422</v>
      </c>
      <c r="N133" s="219" t="s">
        <v>422</v>
      </c>
      <c r="O133" s="221">
        <f>SUM(O134:O137)</f>
        <v>43840791.489999995</v>
      </c>
      <c r="P133" s="221">
        <f t="shared" ref="P133:S133" si="51">SUM(P134:P137)</f>
        <v>0</v>
      </c>
      <c r="Q133" s="221">
        <f t="shared" si="51"/>
        <v>0</v>
      </c>
      <c r="R133" s="221">
        <f t="shared" si="51"/>
        <v>0</v>
      </c>
      <c r="S133" s="221">
        <f t="shared" si="51"/>
        <v>43840791.489999995</v>
      </c>
      <c r="T133" s="221">
        <f t="shared" si="47"/>
        <v>3273.6112783729013</v>
      </c>
      <c r="U133" s="221">
        <f>MAX(U134:U137)</f>
        <v>0</v>
      </c>
      <c r="V133" s="27">
        <f t="shared" si="19"/>
        <v>0</v>
      </c>
      <c r="CR133" s="1"/>
    </row>
    <row r="134" spans="1:96" ht="35.25" x14ac:dyDescent="0.5">
      <c r="A134">
        <v>1</v>
      </c>
      <c r="B134" s="223">
        <f>SUBTOTAL(9,$A$16:A134)</f>
        <v>105</v>
      </c>
      <c r="C134" s="225" t="s">
        <v>183</v>
      </c>
      <c r="D134" s="216"/>
      <c r="E134" s="216">
        <v>1981</v>
      </c>
      <c r="F134" s="216" t="s">
        <v>420</v>
      </c>
      <c r="G134" s="216">
        <v>5</v>
      </c>
      <c r="H134" s="216" t="s">
        <v>321</v>
      </c>
      <c r="I134" s="217">
        <v>3997.88</v>
      </c>
      <c r="J134" s="217">
        <v>3051.48</v>
      </c>
      <c r="K134" s="218">
        <v>156</v>
      </c>
      <c r="L134" s="216" t="s">
        <v>417</v>
      </c>
      <c r="M134" s="216" t="s">
        <v>423</v>
      </c>
      <c r="N134" s="219" t="s">
        <v>446</v>
      </c>
      <c r="O134" s="221">
        <v>4886144.43</v>
      </c>
      <c r="P134" s="221">
        <v>0</v>
      </c>
      <c r="Q134" s="221">
        <v>0</v>
      </c>
      <c r="R134" s="221">
        <v>0</v>
      </c>
      <c r="S134" s="221">
        <f>O134-P134-Q134-R134</f>
        <v>4886144.43</v>
      </c>
      <c r="T134" s="221">
        <f t="shared" si="47"/>
        <v>1222.1838649484225</v>
      </c>
      <c r="U134" s="221">
        <f>ROUND(((V134*12694.51)/I134),2)</f>
        <v>0</v>
      </c>
      <c r="V134" s="27">
        <f t="shared" si="19"/>
        <v>0</v>
      </c>
      <c r="CR134" s="1"/>
    </row>
    <row r="135" spans="1:96" ht="35.25" x14ac:dyDescent="0.5">
      <c r="A135">
        <v>1</v>
      </c>
      <c r="B135" s="223">
        <f>SUBTOTAL(9,$A$16:A135)</f>
        <v>106</v>
      </c>
      <c r="C135" s="225" t="s">
        <v>184</v>
      </c>
      <c r="D135" s="216"/>
      <c r="E135" s="216">
        <v>1973</v>
      </c>
      <c r="F135" s="216" t="s">
        <v>419</v>
      </c>
      <c r="G135" s="216">
        <v>5</v>
      </c>
      <c r="H135" s="216" t="s">
        <v>323</v>
      </c>
      <c r="I135" s="217">
        <v>7452.9</v>
      </c>
      <c r="J135" s="217">
        <v>3163.8</v>
      </c>
      <c r="K135" s="218">
        <v>186</v>
      </c>
      <c r="L135" s="216" t="s">
        <v>417</v>
      </c>
      <c r="M135" s="216" t="s">
        <v>423</v>
      </c>
      <c r="N135" s="219" t="s">
        <v>447</v>
      </c>
      <c r="O135" s="221">
        <v>18412685.819999997</v>
      </c>
      <c r="P135" s="221">
        <v>0</v>
      </c>
      <c r="Q135" s="221">
        <v>0</v>
      </c>
      <c r="R135" s="221">
        <v>0</v>
      </c>
      <c r="S135" s="221">
        <f>O135-P135-Q135-R135</f>
        <v>18412685.819999997</v>
      </c>
      <c r="T135" s="221">
        <f t="shared" si="47"/>
        <v>2470.5397657287763</v>
      </c>
      <c r="U135" s="221">
        <f>ROUND(((V135*12694.51)/I135),2)</f>
        <v>0</v>
      </c>
      <c r="V135" s="27">
        <f t="shared" si="19"/>
        <v>0</v>
      </c>
      <c r="CR135" s="1"/>
    </row>
    <row r="136" spans="1:96" ht="35.25" x14ac:dyDescent="0.5">
      <c r="A136">
        <v>1</v>
      </c>
      <c r="B136" s="223">
        <f>SUBTOTAL(9,$A$16:A136)</f>
        <v>107</v>
      </c>
      <c r="C136" s="225" t="s">
        <v>596</v>
      </c>
      <c r="D136" s="216"/>
      <c r="E136" s="216">
        <v>1971</v>
      </c>
      <c r="F136" s="216" t="s">
        <v>419</v>
      </c>
      <c r="G136" s="216">
        <v>2</v>
      </c>
      <c r="H136" s="216">
        <v>2</v>
      </c>
      <c r="I136" s="217">
        <v>726.3</v>
      </c>
      <c r="J136" s="217">
        <v>716.7</v>
      </c>
      <c r="K136" s="218">
        <v>42</v>
      </c>
      <c r="L136" s="216" t="s">
        <v>417</v>
      </c>
      <c r="M136" s="216" t="s">
        <v>424</v>
      </c>
      <c r="N136" s="219" t="s">
        <v>425</v>
      </c>
      <c r="O136" s="221">
        <v>8615392.9700000007</v>
      </c>
      <c r="P136" s="221">
        <v>0</v>
      </c>
      <c r="Q136" s="221">
        <v>0</v>
      </c>
      <c r="R136" s="221">
        <v>0</v>
      </c>
      <c r="S136" s="221">
        <f>O136-P136-Q136-R136</f>
        <v>8615392.9700000007</v>
      </c>
      <c r="T136" s="221">
        <f t="shared" si="47"/>
        <v>11862.030799944929</v>
      </c>
      <c r="U136" s="221">
        <f>ROUND(((V136*12933.35)/I136),2)</f>
        <v>0</v>
      </c>
      <c r="V136" s="27">
        <f t="shared" si="19"/>
        <v>0</v>
      </c>
      <c r="CR136" s="1"/>
    </row>
    <row r="137" spans="1:96" ht="35.25" x14ac:dyDescent="0.5">
      <c r="A137">
        <v>1</v>
      </c>
      <c r="B137" s="223">
        <f>SUBTOTAL(9,$A$16:A137)</f>
        <v>108</v>
      </c>
      <c r="C137" s="225" t="s">
        <v>185</v>
      </c>
      <c r="D137" s="216"/>
      <c r="E137" s="216">
        <v>1980</v>
      </c>
      <c r="F137" s="216" t="s">
        <v>419</v>
      </c>
      <c r="G137" s="216">
        <v>2</v>
      </c>
      <c r="H137" s="216" t="s">
        <v>321</v>
      </c>
      <c r="I137" s="217">
        <v>1215.0999999999999</v>
      </c>
      <c r="J137" s="217">
        <v>1115.5999999999999</v>
      </c>
      <c r="K137" s="218">
        <v>24</v>
      </c>
      <c r="L137" s="216" t="s">
        <v>417</v>
      </c>
      <c r="M137" s="216" t="s">
        <v>424</v>
      </c>
      <c r="N137" s="219" t="s">
        <v>425</v>
      </c>
      <c r="O137" s="221">
        <v>11926568.27</v>
      </c>
      <c r="P137" s="221">
        <v>0</v>
      </c>
      <c r="Q137" s="221">
        <v>0</v>
      </c>
      <c r="R137" s="221">
        <v>0</v>
      </c>
      <c r="S137" s="221">
        <f>O137-P137-Q137-R137</f>
        <v>11926568.27</v>
      </c>
      <c r="T137" s="221">
        <f t="shared" si="47"/>
        <v>9815.2977285820107</v>
      </c>
      <c r="U137" s="221">
        <f>ROUND(((V137*12694.51)/I137),2)</f>
        <v>0</v>
      </c>
      <c r="V137" s="27">
        <f t="shared" si="19"/>
        <v>0</v>
      </c>
      <c r="CR137" s="1"/>
    </row>
    <row r="138" spans="1:96" ht="35.25" x14ac:dyDescent="0.5">
      <c r="B138" s="215" t="s">
        <v>696</v>
      </c>
      <c r="C138" s="215"/>
      <c r="D138" s="216" t="s">
        <v>422</v>
      </c>
      <c r="E138" s="216" t="s">
        <v>422</v>
      </c>
      <c r="F138" s="216" t="s">
        <v>422</v>
      </c>
      <c r="G138" s="216" t="s">
        <v>422</v>
      </c>
      <c r="H138" s="216" t="s">
        <v>422</v>
      </c>
      <c r="I138" s="217">
        <f>SUM(I139:I142)</f>
        <v>4344.6000000000004</v>
      </c>
      <c r="J138" s="217">
        <f t="shared" ref="J138:K138" si="52">SUM(J139:J142)</f>
        <v>3452.9</v>
      </c>
      <c r="K138" s="218">
        <f t="shared" si="52"/>
        <v>110</v>
      </c>
      <c r="L138" s="216" t="s">
        <v>422</v>
      </c>
      <c r="M138" s="216" t="s">
        <v>422</v>
      </c>
      <c r="N138" s="219" t="s">
        <v>422</v>
      </c>
      <c r="O138" s="221">
        <f>SUM(O139:O142)</f>
        <v>36548320.950000003</v>
      </c>
      <c r="P138" s="221">
        <f t="shared" ref="P138:S138" si="53">SUM(P139:P142)</f>
        <v>0</v>
      </c>
      <c r="Q138" s="221">
        <f t="shared" si="53"/>
        <v>0</v>
      </c>
      <c r="R138" s="221">
        <f t="shared" si="53"/>
        <v>0</v>
      </c>
      <c r="S138" s="221">
        <f t="shared" si="53"/>
        <v>36548320.950000003</v>
      </c>
      <c r="T138" s="221">
        <f>O138/I138</f>
        <v>8412.3557864935774</v>
      </c>
      <c r="U138" s="221">
        <f>MAX(U139:U142)</f>
        <v>17014.12</v>
      </c>
      <c r="V138" s="27">
        <f t="shared" si="19"/>
        <v>0</v>
      </c>
      <c r="CR138" s="1"/>
    </row>
    <row r="139" spans="1:96" ht="35.25" x14ac:dyDescent="0.5">
      <c r="A139">
        <v>1</v>
      </c>
      <c r="B139" s="223">
        <f>SUBTOTAL(9,$A$16:A139)</f>
        <v>109</v>
      </c>
      <c r="C139" s="225" t="s">
        <v>595</v>
      </c>
      <c r="D139" s="216"/>
      <c r="E139" s="216">
        <v>1980</v>
      </c>
      <c r="F139" s="216" t="s">
        <v>419</v>
      </c>
      <c r="G139" s="216">
        <v>2</v>
      </c>
      <c r="H139" s="216">
        <v>3</v>
      </c>
      <c r="I139" s="217">
        <v>977.2</v>
      </c>
      <c r="J139" s="217">
        <v>892.7</v>
      </c>
      <c r="K139" s="218">
        <v>34</v>
      </c>
      <c r="L139" s="216" t="s">
        <v>417</v>
      </c>
      <c r="M139" s="216" t="s">
        <v>423</v>
      </c>
      <c r="N139" s="219" t="s">
        <v>433</v>
      </c>
      <c r="O139" s="221">
        <v>11569348.5</v>
      </c>
      <c r="P139" s="221">
        <v>0</v>
      </c>
      <c r="Q139" s="221">
        <v>0</v>
      </c>
      <c r="R139" s="221">
        <v>0</v>
      </c>
      <c r="S139" s="221">
        <f>O139-P139-Q139-R139</f>
        <v>11569348.5</v>
      </c>
      <c r="T139" s="221">
        <f>O139/I139</f>
        <v>11839.284179287761</v>
      </c>
      <c r="U139" s="221">
        <v>17014.12</v>
      </c>
      <c r="V139" s="27">
        <f t="shared" si="19"/>
        <v>0</v>
      </c>
      <c r="CR139" s="1"/>
    </row>
    <row r="140" spans="1:96" ht="35.25" x14ac:dyDescent="0.5">
      <c r="A140">
        <v>1</v>
      </c>
      <c r="B140" s="223">
        <f>SUBTOTAL(9,$A$16:A140)</f>
        <v>110</v>
      </c>
      <c r="C140" s="225" t="s">
        <v>198</v>
      </c>
      <c r="D140" s="216"/>
      <c r="E140" s="216">
        <v>1964</v>
      </c>
      <c r="F140" s="216" t="s">
        <v>419</v>
      </c>
      <c r="G140" s="216">
        <v>2</v>
      </c>
      <c r="H140" s="216" t="s">
        <v>319</v>
      </c>
      <c r="I140" s="217">
        <v>419.3</v>
      </c>
      <c r="J140" s="217">
        <v>312.3</v>
      </c>
      <c r="K140" s="218">
        <v>8</v>
      </c>
      <c r="L140" s="216" t="s">
        <v>417</v>
      </c>
      <c r="M140" s="216" t="s">
        <v>423</v>
      </c>
      <c r="N140" s="219" t="s">
        <v>433</v>
      </c>
      <c r="O140" s="221">
        <v>4087632.2199999997</v>
      </c>
      <c r="P140" s="221">
        <v>0</v>
      </c>
      <c r="Q140" s="221">
        <v>0</v>
      </c>
      <c r="R140" s="221">
        <v>0</v>
      </c>
      <c r="S140" s="221">
        <f>O140-P140-Q140-R140</f>
        <v>4087632.2199999997</v>
      </c>
      <c r="T140" s="221">
        <f t="shared" si="47"/>
        <v>9748.7055091819693</v>
      </c>
      <c r="U140" s="221">
        <v>9932.1200000000008</v>
      </c>
      <c r="V140" s="27">
        <f t="shared" si="19"/>
        <v>0</v>
      </c>
      <c r="CR140" s="1"/>
    </row>
    <row r="141" spans="1:96" ht="35.25" x14ac:dyDescent="0.5">
      <c r="A141">
        <v>1</v>
      </c>
      <c r="B141" s="223">
        <f>SUBTOTAL(9,$A$16:A141)</f>
        <v>111</v>
      </c>
      <c r="C141" s="225" t="s">
        <v>199</v>
      </c>
      <c r="D141" s="216"/>
      <c r="E141" s="216">
        <v>1990</v>
      </c>
      <c r="F141" s="216" t="s">
        <v>419</v>
      </c>
      <c r="G141" s="216">
        <v>3</v>
      </c>
      <c r="H141" s="216" t="s">
        <v>326</v>
      </c>
      <c r="I141" s="217">
        <v>1842.5</v>
      </c>
      <c r="J141" s="217">
        <v>1518.5</v>
      </c>
      <c r="K141" s="218">
        <v>26</v>
      </c>
      <c r="L141" s="216" t="s">
        <v>417</v>
      </c>
      <c r="M141" s="216" t="s">
        <v>423</v>
      </c>
      <c r="N141" s="219" t="s">
        <v>433</v>
      </c>
      <c r="O141" s="221">
        <v>13646598.25</v>
      </c>
      <c r="P141" s="221">
        <v>0</v>
      </c>
      <c r="Q141" s="221">
        <v>0</v>
      </c>
      <c r="R141" s="221">
        <v>0</v>
      </c>
      <c r="S141" s="221">
        <f>O141-P141-Q141-R141</f>
        <v>13646598.25</v>
      </c>
      <c r="T141" s="221">
        <f t="shared" si="47"/>
        <v>7406.5662143826321</v>
      </c>
      <c r="U141" s="221">
        <v>7545.92</v>
      </c>
      <c r="V141" s="27">
        <f t="shared" si="19"/>
        <v>0</v>
      </c>
      <c r="CR141" s="1"/>
    </row>
    <row r="142" spans="1:96" ht="35.25" x14ac:dyDescent="0.5">
      <c r="A142">
        <v>1</v>
      </c>
      <c r="B142" s="223">
        <f>SUBTOTAL(9,$A$16:A142)</f>
        <v>112</v>
      </c>
      <c r="C142" s="225" t="s">
        <v>200</v>
      </c>
      <c r="D142" s="216"/>
      <c r="E142" s="216">
        <v>1975</v>
      </c>
      <c r="F142" s="216" t="s">
        <v>419</v>
      </c>
      <c r="G142" s="216">
        <v>2</v>
      </c>
      <c r="H142" s="216" t="s">
        <v>319</v>
      </c>
      <c r="I142" s="217">
        <v>1105.5999999999999</v>
      </c>
      <c r="J142" s="217">
        <v>729.4</v>
      </c>
      <c r="K142" s="218">
        <v>42</v>
      </c>
      <c r="L142" s="216" t="s">
        <v>417</v>
      </c>
      <c r="M142" s="216" t="s">
        <v>423</v>
      </c>
      <c r="N142" s="219" t="s">
        <v>450</v>
      </c>
      <c r="O142" s="221">
        <v>7244741.9800000004</v>
      </c>
      <c r="P142" s="221">
        <v>0</v>
      </c>
      <c r="Q142" s="221">
        <v>0</v>
      </c>
      <c r="R142" s="221">
        <v>0</v>
      </c>
      <c r="S142" s="221">
        <f>O142-P142-Q142-R142</f>
        <v>7244741.9800000004</v>
      </c>
      <c r="T142" s="221">
        <f t="shared" si="47"/>
        <v>6552.7695188133148</v>
      </c>
      <c r="U142" s="221">
        <v>6552.77</v>
      </c>
      <c r="V142" s="27">
        <f t="shared" ref="V142:V205" si="54">O142-P142-Q142-R142-S142</f>
        <v>0</v>
      </c>
      <c r="CR142" s="1"/>
    </row>
    <row r="143" spans="1:96" ht="35.25" x14ac:dyDescent="0.5">
      <c r="B143" s="215" t="s">
        <v>667</v>
      </c>
      <c r="C143" s="215"/>
      <c r="D143" s="216" t="s">
        <v>422</v>
      </c>
      <c r="E143" s="216" t="s">
        <v>422</v>
      </c>
      <c r="F143" s="216" t="s">
        <v>422</v>
      </c>
      <c r="G143" s="216" t="s">
        <v>422</v>
      </c>
      <c r="H143" s="216" t="s">
        <v>422</v>
      </c>
      <c r="I143" s="217">
        <f>I144+I145+I146+I147+I148</f>
        <v>2717.8</v>
      </c>
      <c r="J143" s="217">
        <f t="shared" ref="J143:K143" si="55">J144+J145+J146+J147+J148</f>
        <v>2408</v>
      </c>
      <c r="K143" s="218">
        <f t="shared" si="55"/>
        <v>118</v>
      </c>
      <c r="L143" s="216" t="s">
        <v>422</v>
      </c>
      <c r="M143" s="216" t="s">
        <v>422</v>
      </c>
      <c r="N143" s="219" t="s">
        <v>422</v>
      </c>
      <c r="O143" s="220">
        <f>O144+O145+O146+O147+O148</f>
        <v>29943810.810000002</v>
      </c>
      <c r="P143" s="220">
        <f t="shared" ref="P143:S143" si="56">P144+P145+P146+P147+P148</f>
        <v>0</v>
      </c>
      <c r="Q143" s="220">
        <f t="shared" si="56"/>
        <v>0</v>
      </c>
      <c r="R143" s="220">
        <f t="shared" si="56"/>
        <v>0</v>
      </c>
      <c r="S143" s="220">
        <f t="shared" si="56"/>
        <v>29943810.810000002</v>
      </c>
      <c r="T143" s="221">
        <f t="shared" si="47"/>
        <v>11017.665321215689</v>
      </c>
      <c r="U143" s="221">
        <f>MAX(U144:U148)</f>
        <v>15124.39</v>
      </c>
      <c r="V143" s="27">
        <f t="shared" si="54"/>
        <v>0</v>
      </c>
      <c r="CR143" s="1"/>
    </row>
    <row r="144" spans="1:96" ht="35.25" x14ac:dyDescent="0.5">
      <c r="A144">
        <v>1</v>
      </c>
      <c r="B144" s="223">
        <f>SUBTOTAL(9,$A$16:A144)</f>
        <v>113</v>
      </c>
      <c r="C144" s="225" t="s">
        <v>208</v>
      </c>
      <c r="D144" s="216"/>
      <c r="E144" s="216">
        <v>1956</v>
      </c>
      <c r="F144" s="216" t="s">
        <v>419</v>
      </c>
      <c r="G144" s="216">
        <v>2</v>
      </c>
      <c r="H144" s="216">
        <v>2</v>
      </c>
      <c r="I144" s="217">
        <v>1010.2</v>
      </c>
      <c r="J144" s="217">
        <v>894.8</v>
      </c>
      <c r="K144" s="218">
        <v>33</v>
      </c>
      <c r="L144" s="216" t="s">
        <v>417</v>
      </c>
      <c r="M144" s="216" t="s">
        <v>424</v>
      </c>
      <c r="N144" s="219" t="s">
        <v>425</v>
      </c>
      <c r="O144" s="221">
        <v>9262564.3399999999</v>
      </c>
      <c r="P144" s="221">
        <v>0</v>
      </c>
      <c r="Q144" s="221">
        <v>0</v>
      </c>
      <c r="R144" s="221">
        <v>0</v>
      </c>
      <c r="S144" s="221">
        <f>O144-P144-Q144-R144</f>
        <v>9262564.3399999999</v>
      </c>
      <c r="T144" s="221">
        <f t="shared" si="47"/>
        <v>9169.0401306671938</v>
      </c>
      <c r="U144" s="221">
        <v>13116.89</v>
      </c>
      <c r="V144" s="27">
        <f t="shared" si="54"/>
        <v>0</v>
      </c>
      <c r="CR144" s="1"/>
    </row>
    <row r="145" spans="1:96" ht="35.25" x14ac:dyDescent="0.5">
      <c r="A145">
        <v>1</v>
      </c>
      <c r="B145" s="223">
        <f>SUBTOTAL(9,$A$16:A145)</f>
        <v>114</v>
      </c>
      <c r="C145" s="225" t="s">
        <v>209</v>
      </c>
      <c r="D145" s="216"/>
      <c r="E145" s="216">
        <v>1962</v>
      </c>
      <c r="F145" s="216" t="s">
        <v>419</v>
      </c>
      <c r="G145" s="216">
        <v>2</v>
      </c>
      <c r="H145" s="216">
        <v>1</v>
      </c>
      <c r="I145" s="217">
        <v>250.4</v>
      </c>
      <c r="J145" s="217">
        <v>151.19999999999999</v>
      </c>
      <c r="K145" s="218">
        <v>21</v>
      </c>
      <c r="L145" s="216" t="s">
        <v>417</v>
      </c>
      <c r="M145" s="216" t="s">
        <v>424</v>
      </c>
      <c r="N145" s="219" t="s">
        <v>425</v>
      </c>
      <c r="O145" s="221">
        <v>2404045.5299999998</v>
      </c>
      <c r="P145" s="221">
        <v>0</v>
      </c>
      <c r="Q145" s="221">
        <v>0</v>
      </c>
      <c r="R145" s="221">
        <v>0</v>
      </c>
      <c r="S145" s="221">
        <f>O145-P145-Q145-R145</f>
        <v>2404045.5299999998</v>
      </c>
      <c r="T145" s="221">
        <f t="shared" si="47"/>
        <v>9600.8208067092637</v>
      </c>
      <c r="U145" s="221">
        <v>13839.01</v>
      </c>
      <c r="V145" s="27">
        <f t="shared" si="54"/>
        <v>0</v>
      </c>
      <c r="CR145" s="1"/>
    </row>
    <row r="146" spans="1:96" ht="35.25" x14ac:dyDescent="0.5">
      <c r="A146">
        <v>1</v>
      </c>
      <c r="B146" s="223">
        <f>SUBTOTAL(9,$A$16:A146)</f>
        <v>115</v>
      </c>
      <c r="C146" s="226" t="s">
        <v>605</v>
      </c>
      <c r="D146" s="227"/>
      <c r="E146" s="216">
        <v>1950</v>
      </c>
      <c r="F146" s="216" t="s">
        <v>419</v>
      </c>
      <c r="G146" s="216">
        <v>2</v>
      </c>
      <c r="H146" s="216" t="s">
        <v>319</v>
      </c>
      <c r="I146" s="217">
        <v>389.5</v>
      </c>
      <c r="J146" s="217">
        <v>350.2</v>
      </c>
      <c r="K146" s="218">
        <v>18</v>
      </c>
      <c r="L146" s="216" t="s">
        <v>417</v>
      </c>
      <c r="M146" s="216" t="s">
        <v>424</v>
      </c>
      <c r="N146" s="219"/>
      <c r="O146" s="228">
        <v>3403732.66</v>
      </c>
      <c r="P146" s="228">
        <v>0</v>
      </c>
      <c r="Q146" s="228">
        <v>0</v>
      </c>
      <c r="R146" s="228">
        <v>0</v>
      </c>
      <c r="S146" s="228">
        <f>O146-Q146-R146</f>
        <v>3403732.66</v>
      </c>
      <c r="T146" s="235">
        <f t="shared" si="47"/>
        <v>8738.7231322207954</v>
      </c>
      <c r="U146" s="228">
        <v>9777.5400000000009</v>
      </c>
      <c r="V146" s="27">
        <f t="shared" si="54"/>
        <v>0</v>
      </c>
      <c r="W146" s="33">
        <v>0</v>
      </c>
      <c r="X146" s="33">
        <v>0</v>
      </c>
      <c r="Y146" s="33">
        <v>0</v>
      </c>
      <c r="Z146" s="33">
        <v>0</v>
      </c>
      <c r="AA146" s="34"/>
      <c r="AB146" s="1">
        <f>O146-P146-Q146-R146-S146</f>
        <v>0</v>
      </c>
      <c r="AD146" s="35">
        <v>0</v>
      </c>
      <c r="AE146">
        <f>AD146*8294.83/I146</f>
        <v>0</v>
      </c>
      <c r="BU146" s="1">
        <f>U146-T146</f>
        <v>1038.8168677792055</v>
      </c>
      <c r="CN146" s="1"/>
      <c r="CR146" s="1"/>
    </row>
    <row r="147" spans="1:96" ht="35.25" x14ac:dyDescent="0.5">
      <c r="A147">
        <v>1</v>
      </c>
      <c r="B147" s="223">
        <f>SUBTOTAL(9,$A$16:A147)</f>
        <v>116</v>
      </c>
      <c r="C147" s="225" t="s">
        <v>213</v>
      </c>
      <c r="D147" s="216"/>
      <c r="E147" s="216">
        <v>1964</v>
      </c>
      <c r="F147" s="216" t="s">
        <v>419</v>
      </c>
      <c r="G147" s="216">
        <v>2</v>
      </c>
      <c r="H147" s="216" t="s">
        <v>319</v>
      </c>
      <c r="I147" s="217">
        <v>406.3</v>
      </c>
      <c r="J147" s="217">
        <v>381.2</v>
      </c>
      <c r="K147" s="218">
        <v>15</v>
      </c>
      <c r="L147" s="216" t="s">
        <v>417</v>
      </c>
      <c r="M147" s="216" t="s">
        <v>424</v>
      </c>
      <c r="N147" s="219" t="s">
        <v>425</v>
      </c>
      <c r="O147" s="221">
        <v>5014331.45</v>
      </c>
      <c r="P147" s="221">
        <v>0</v>
      </c>
      <c r="Q147" s="221">
        <v>0</v>
      </c>
      <c r="R147" s="221">
        <v>0</v>
      </c>
      <c r="S147" s="221">
        <f t="shared" ref="S147:S148" si="57">O147-P147-Q147-R147</f>
        <v>5014331.45</v>
      </c>
      <c r="T147" s="221">
        <f t="shared" si="47"/>
        <v>12341.450775289195</v>
      </c>
      <c r="U147" s="221">
        <v>12573.65</v>
      </c>
      <c r="V147" s="27">
        <f t="shared" si="54"/>
        <v>0</v>
      </c>
      <c r="CR147" s="1"/>
    </row>
    <row r="148" spans="1:96" ht="35.25" x14ac:dyDescent="0.5">
      <c r="A148">
        <v>1</v>
      </c>
      <c r="B148" s="223">
        <f>SUBTOTAL(9,$A$16:A148)</f>
        <v>117</v>
      </c>
      <c r="C148" s="225" t="s">
        <v>674</v>
      </c>
      <c r="D148" s="216"/>
      <c r="E148" s="216">
        <v>1959</v>
      </c>
      <c r="F148" s="216" t="s">
        <v>419</v>
      </c>
      <c r="G148" s="216">
        <v>2</v>
      </c>
      <c r="H148" s="216">
        <v>2</v>
      </c>
      <c r="I148" s="217">
        <v>661.4</v>
      </c>
      <c r="J148" s="217">
        <v>630.6</v>
      </c>
      <c r="K148" s="218">
        <v>31</v>
      </c>
      <c r="L148" s="216" t="s">
        <v>417</v>
      </c>
      <c r="M148" s="216" t="s">
        <v>424</v>
      </c>
      <c r="N148" s="219" t="s">
        <v>425</v>
      </c>
      <c r="O148" s="221">
        <v>9859136.8300000001</v>
      </c>
      <c r="P148" s="221">
        <v>0</v>
      </c>
      <c r="Q148" s="221">
        <v>0</v>
      </c>
      <c r="R148" s="221">
        <v>0</v>
      </c>
      <c r="S148" s="221">
        <f t="shared" si="57"/>
        <v>9859136.8300000001</v>
      </c>
      <c r="T148" s="221">
        <f t="shared" si="47"/>
        <v>14906.466328999093</v>
      </c>
      <c r="U148" s="221">
        <v>15124.39</v>
      </c>
      <c r="V148" s="27">
        <f t="shared" si="54"/>
        <v>0</v>
      </c>
      <c r="CR148" s="1"/>
    </row>
    <row r="149" spans="1:96" ht="35.25" x14ac:dyDescent="0.5">
      <c r="B149" s="215" t="s">
        <v>221</v>
      </c>
      <c r="C149" s="215"/>
      <c r="D149" s="216" t="s">
        <v>422</v>
      </c>
      <c r="E149" s="216" t="s">
        <v>422</v>
      </c>
      <c r="F149" s="216" t="s">
        <v>422</v>
      </c>
      <c r="G149" s="216" t="s">
        <v>422</v>
      </c>
      <c r="H149" s="216" t="s">
        <v>422</v>
      </c>
      <c r="I149" s="217">
        <f>I150+I151+I152</f>
        <v>3941.22</v>
      </c>
      <c r="J149" s="217">
        <f t="shared" ref="J149" si="58">J150+J151+J152</f>
        <v>3075.7000000000003</v>
      </c>
      <c r="K149" s="218">
        <f>K150+K151+K152</f>
        <v>106</v>
      </c>
      <c r="L149" s="216" t="s">
        <v>422</v>
      </c>
      <c r="M149" s="216" t="s">
        <v>422</v>
      </c>
      <c r="N149" s="219" t="s">
        <v>422</v>
      </c>
      <c r="O149" s="221">
        <v>19260578.530000001</v>
      </c>
      <c r="P149" s="221">
        <f t="shared" ref="P149:R149" si="59">P150+P151</f>
        <v>0</v>
      </c>
      <c r="Q149" s="221">
        <f t="shared" si="59"/>
        <v>0</v>
      </c>
      <c r="R149" s="221">
        <f t="shared" si="59"/>
        <v>0</v>
      </c>
      <c r="S149" s="221">
        <f>S150+S151+S152</f>
        <v>19260578.530000001</v>
      </c>
      <c r="T149" s="221">
        <f t="shared" si="47"/>
        <v>4886.9584874734228</v>
      </c>
      <c r="U149" s="221">
        <f>MAX(U150:U151)</f>
        <v>10468.64</v>
      </c>
      <c r="V149" s="27">
        <f t="shared" si="54"/>
        <v>0</v>
      </c>
      <c r="CR149" s="1"/>
    </row>
    <row r="150" spans="1:96" ht="35.25" x14ac:dyDescent="0.5">
      <c r="A150">
        <v>1</v>
      </c>
      <c r="B150" s="223">
        <f>SUBTOTAL(9,$A$16:A150)</f>
        <v>118</v>
      </c>
      <c r="C150" s="225" t="s">
        <v>216</v>
      </c>
      <c r="D150" s="216"/>
      <c r="E150" s="216">
        <v>1998</v>
      </c>
      <c r="F150" s="216" t="s">
        <v>419</v>
      </c>
      <c r="G150" s="216">
        <v>5</v>
      </c>
      <c r="H150" s="216">
        <v>2</v>
      </c>
      <c r="I150" s="217">
        <v>2355.6999999999998</v>
      </c>
      <c r="J150" s="217">
        <v>1809.7</v>
      </c>
      <c r="K150" s="218">
        <v>47</v>
      </c>
      <c r="L150" s="216" t="s">
        <v>417</v>
      </c>
      <c r="M150" s="216" t="s">
        <v>426</v>
      </c>
      <c r="N150" s="219" t="s">
        <v>451</v>
      </c>
      <c r="O150" s="221">
        <v>7570888</v>
      </c>
      <c r="P150" s="221">
        <v>0</v>
      </c>
      <c r="Q150" s="221">
        <v>0</v>
      </c>
      <c r="R150" s="221">
        <v>0</v>
      </c>
      <c r="S150" s="221">
        <f>O150-P150-Q150-R150</f>
        <v>7570888</v>
      </c>
      <c r="T150" s="221">
        <f t="shared" si="47"/>
        <v>3213.8591501464534</v>
      </c>
      <c r="U150" s="221">
        <v>3294.14</v>
      </c>
      <c r="V150" s="27">
        <f t="shared" si="54"/>
        <v>0</v>
      </c>
      <c r="CR150" s="1"/>
    </row>
    <row r="151" spans="1:96" ht="35.25" x14ac:dyDescent="0.5">
      <c r="A151">
        <v>1</v>
      </c>
      <c r="B151" s="223">
        <f>SUBTOTAL(9,$A$16:A151)</f>
        <v>119</v>
      </c>
      <c r="C151" s="225" t="s">
        <v>217</v>
      </c>
      <c r="D151" s="216"/>
      <c r="E151" s="216">
        <v>1982</v>
      </c>
      <c r="F151" s="216" t="s">
        <v>419</v>
      </c>
      <c r="G151" s="216">
        <v>2</v>
      </c>
      <c r="H151" s="216" t="s">
        <v>326</v>
      </c>
      <c r="I151" s="217">
        <v>965</v>
      </c>
      <c r="J151" s="217">
        <v>875.2</v>
      </c>
      <c r="K151" s="218">
        <v>38</v>
      </c>
      <c r="L151" s="216" t="s">
        <v>417</v>
      </c>
      <c r="M151" s="216" t="s">
        <v>424</v>
      </c>
      <c r="N151" s="219" t="s">
        <v>425</v>
      </c>
      <c r="O151" s="221">
        <v>8074067.7999999998</v>
      </c>
      <c r="P151" s="221">
        <v>0</v>
      </c>
      <c r="Q151" s="221">
        <v>0</v>
      </c>
      <c r="R151" s="221">
        <v>0</v>
      </c>
      <c r="S151" s="221">
        <f>O151-P151-Q151-R151</f>
        <v>8074067.7999999998</v>
      </c>
      <c r="T151" s="221">
        <f t="shared" si="47"/>
        <v>8366.9096373057</v>
      </c>
      <c r="U151" s="221">
        <v>10468.64</v>
      </c>
      <c r="V151" s="27">
        <f t="shared" si="54"/>
        <v>0</v>
      </c>
      <c r="CR151" s="1"/>
    </row>
    <row r="152" spans="1:96" ht="35.25" x14ac:dyDescent="0.5">
      <c r="A152">
        <v>1</v>
      </c>
      <c r="B152" s="223">
        <f>SUBTOTAL(9,$A$16:A152)</f>
        <v>120</v>
      </c>
      <c r="C152" s="226" t="s">
        <v>658</v>
      </c>
      <c r="D152" s="227" t="s">
        <v>421</v>
      </c>
      <c r="E152" s="216">
        <v>1962</v>
      </c>
      <c r="F152" s="216" t="s">
        <v>318</v>
      </c>
      <c r="G152" s="216">
        <v>2</v>
      </c>
      <c r="H152" s="216" t="s">
        <v>317</v>
      </c>
      <c r="I152" s="217">
        <v>620.52</v>
      </c>
      <c r="J152" s="217">
        <v>390.8</v>
      </c>
      <c r="K152" s="218">
        <v>21</v>
      </c>
      <c r="L152" s="216" t="s">
        <v>417</v>
      </c>
      <c r="M152" s="216" t="s">
        <v>424</v>
      </c>
      <c r="N152" s="219" t="s">
        <v>425</v>
      </c>
      <c r="O152" s="228">
        <v>3615622.73</v>
      </c>
      <c r="P152" s="228">
        <v>0</v>
      </c>
      <c r="Q152" s="228">
        <v>0</v>
      </c>
      <c r="R152" s="228">
        <v>0</v>
      </c>
      <c r="S152" s="228">
        <f>O152-Q152-R152</f>
        <v>3615622.73</v>
      </c>
      <c r="T152" s="235">
        <f>O152/I152</f>
        <v>5826.762602333527</v>
      </c>
      <c r="U152" s="228">
        <v>6982.324904918456</v>
      </c>
      <c r="V152" s="27">
        <f t="shared" si="54"/>
        <v>0</v>
      </c>
      <c r="W152" s="33">
        <v>0</v>
      </c>
      <c r="X152" s="33">
        <v>0</v>
      </c>
      <c r="Y152" s="33">
        <v>0</v>
      </c>
      <c r="Z152" s="33">
        <v>0</v>
      </c>
      <c r="AA152" s="34"/>
      <c r="AB152" s="1">
        <f>O152-P152-Q152-R152-S152</f>
        <v>0</v>
      </c>
      <c r="AD152" s="35">
        <v>0</v>
      </c>
      <c r="AE152">
        <f>AD152*8294.83/I152</f>
        <v>0</v>
      </c>
      <c r="AH152" t="e">
        <f>VLOOKUP(C152,AI:AJ,2,FALSE)</f>
        <v>#N/A</v>
      </c>
      <c r="BU152" s="1">
        <f>U152-T152</f>
        <v>1155.5623025849291</v>
      </c>
      <c r="BW152" t="e">
        <f>VLOOKUP(C152,BX:BY,2,FALSE)</f>
        <v>#N/A</v>
      </c>
      <c r="CN152" s="1"/>
      <c r="CR152" s="1"/>
    </row>
    <row r="153" spans="1:96" ht="35.25" x14ac:dyDescent="0.5">
      <c r="B153" s="236" t="s">
        <v>694</v>
      </c>
      <c r="C153" s="236"/>
      <c r="D153" s="216" t="s">
        <v>422</v>
      </c>
      <c r="E153" s="216" t="s">
        <v>422</v>
      </c>
      <c r="F153" s="216" t="s">
        <v>422</v>
      </c>
      <c r="G153" s="216" t="s">
        <v>422</v>
      </c>
      <c r="H153" s="216" t="s">
        <v>422</v>
      </c>
      <c r="I153" s="217">
        <f>SUM(I154:I160)</f>
        <v>16270.210000000001</v>
      </c>
      <c r="J153" s="217">
        <f t="shared" ref="J153:K153" si="60">SUM(J154:J160)</f>
        <v>13460.960000000001</v>
      </c>
      <c r="K153" s="218">
        <f t="shared" si="60"/>
        <v>661</v>
      </c>
      <c r="L153" s="216" t="s">
        <v>422</v>
      </c>
      <c r="M153" s="216" t="s">
        <v>422</v>
      </c>
      <c r="N153" s="219" t="s">
        <v>422</v>
      </c>
      <c r="O153" s="220">
        <f>SUM(O154:O160)</f>
        <v>76637550.150000006</v>
      </c>
      <c r="P153" s="220">
        <f t="shared" ref="P153:S153" si="61">SUM(P154:P160)</f>
        <v>0</v>
      </c>
      <c r="Q153" s="220">
        <f t="shared" si="61"/>
        <v>0</v>
      </c>
      <c r="R153" s="220">
        <f t="shared" si="61"/>
        <v>0</v>
      </c>
      <c r="S153" s="220">
        <f t="shared" si="61"/>
        <v>76637550.150000006</v>
      </c>
      <c r="T153" s="221">
        <f t="shared" si="47"/>
        <v>4710.2987699605601</v>
      </c>
      <c r="U153" s="221">
        <f>MAX(U154:U160)</f>
        <v>16721.310000000001</v>
      </c>
      <c r="V153" s="27">
        <f t="shared" si="54"/>
        <v>0</v>
      </c>
      <c r="CR153" s="1"/>
    </row>
    <row r="154" spans="1:96" ht="35.25" x14ac:dyDescent="0.5">
      <c r="A154">
        <v>1</v>
      </c>
      <c r="B154" s="223">
        <f>SUBTOTAL(9,$A$16:A154)</f>
        <v>121</v>
      </c>
      <c r="C154" s="225" t="s">
        <v>272</v>
      </c>
      <c r="D154" s="216"/>
      <c r="E154" s="216">
        <v>1967</v>
      </c>
      <c r="F154" s="216" t="s">
        <v>419</v>
      </c>
      <c r="G154" s="216">
        <v>2</v>
      </c>
      <c r="H154" s="216" t="s">
        <v>319</v>
      </c>
      <c r="I154" s="217">
        <v>658.1</v>
      </c>
      <c r="J154" s="217">
        <v>608.9</v>
      </c>
      <c r="K154" s="218">
        <v>38</v>
      </c>
      <c r="L154" s="216" t="s">
        <v>417</v>
      </c>
      <c r="M154" s="216" t="s">
        <v>424</v>
      </c>
      <c r="N154" s="219" t="s">
        <v>425</v>
      </c>
      <c r="O154" s="221">
        <v>6118469.2400000002</v>
      </c>
      <c r="P154" s="221">
        <v>0</v>
      </c>
      <c r="Q154" s="221">
        <v>0</v>
      </c>
      <c r="R154" s="221">
        <v>0</v>
      </c>
      <c r="S154" s="221">
        <f>O154-P154-Q154-R154</f>
        <v>6118469.2400000002</v>
      </c>
      <c r="T154" s="221">
        <f t="shared" si="47"/>
        <v>9297.1725269715844</v>
      </c>
      <c r="U154" s="221">
        <v>12933.35</v>
      </c>
      <c r="V154" s="27">
        <f t="shared" si="54"/>
        <v>0</v>
      </c>
      <c r="CR154" s="1"/>
    </row>
    <row r="155" spans="1:96" ht="35.25" x14ac:dyDescent="0.5">
      <c r="A155">
        <v>1</v>
      </c>
      <c r="B155" s="223">
        <f>SUBTOTAL(9,$A$16:A155)</f>
        <v>122</v>
      </c>
      <c r="C155" s="225" t="s">
        <v>273</v>
      </c>
      <c r="D155" s="216"/>
      <c r="E155" s="216">
        <v>1973</v>
      </c>
      <c r="F155" s="216" t="s">
        <v>419</v>
      </c>
      <c r="G155" s="216">
        <v>2</v>
      </c>
      <c r="H155" s="216" t="s">
        <v>319</v>
      </c>
      <c r="I155" s="217">
        <v>715.4</v>
      </c>
      <c r="J155" s="217">
        <v>466.6</v>
      </c>
      <c r="K155" s="218">
        <v>42</v>
      </c>
      <c r="L155" s="216" t="s">
        <v>417</v>
      </c>
      <c r="M155" s="216" t="s">
        <v>423</v>
      </c>
      <c r="N155" s="219" t="s">
        <v>465</v>
      </c>
      <c r="O155" s="221">
        <v>7007140.6799999997</v>
      </c>
      <c r="P155" s="221">
        <v>0</v>
      </c>
      <c r="Q155" s="221">
        <v>0</v>
      </c>
      <c r="R155" s="221">
        <v>0</v>
      </c>
      <c r="S155" s="221">
        <f>O155-P155-Q155-R155</f>
        <v>7007140.6799999997</v>
      </c>
      <c r="T155" s="221">
        <f t="shared" ref="T155:T184" si="62">O155/I155</f>
        <v>9794.7171931786415</v>
      </c>
      <c r="U155" s="221">
        <v>16721.310000000001</v>
      </c>
      <c r="V155" s="27">
        <f t="shared" si="54"/>
        <v>0</v>
      </c>
      <c r="CR155" s="1"/>
    </row>
    <row r="156" spans="1:96" ht="35.25" x14ac:dyDescent="0.5">
      <c r="A156">
        <v>1</v>
      </c>
      <c r="B156" s="223">
        <f>SUBTOTAL(9,$A$16:A156)</f>
        <v>123</v>
      </c>
      <c r="C156" s="225" t="s">
        <v>274</v>
      </c>
      <c r="D156" s="216"/>
      <c r="E156" s="216">
        <v>1989</v>
      </c>
      <c r="F156" s="216" t="s">
        <v>419</v>
      </c>
      <c r="G156" s="216">
        <v>3</v>
      </c>
      <c r="H156" s="216" t="s">
        <v>319</v>
      </c>
      <c r="I156" s="217">
        <v>1604.1</v>
      </c>
      <c r="J156" s="217">
        <v>933.2</v>
      </c>
      <c r="K156" s="218">
        <v>70</v>
      </c>
      <c r="L156" s="216" t="s">
        <v>417</v>
      </c>
      <c r="M156" s="216" t="s">
        <v>423</v>
      </c>
      <c r="N156" s="219" t="s">
        <v>465</v>
      </c>
      <c r="O156" s="221">
        <v>10758171.880000001</v>
      </c>
      <c r="P156" s="221">
        <v>0</v>
      </c>
      <c r="Q156" s="221">
        <v>0</v>
      </c>
      <c r="R156" s="221">
        <v>0</v>
      </c>
      <c r="S156" s="221">
        <f>O156-P156-Q156-R156</f>
        <v>10758171.880000001</v>
      </c>
      <c r="T156" s="221">
        <f t="shared" si="62"/>
        <v>6706.671579078612</v>
      </c>
      <c r="U156" s="221">
        <v>8716.81</v>
      </c>
      <c r="V156" s="27">
        <f t="shared" si="54"/>
        <v>0</v>
      </c>
      <c r="CR156" s="1"/>
    </row>
    <row r="157" spans="1:96" ht="35.25" x14ac:dyDescent="0.5">
      <c r="A157">
        <v>1</v>
      </c>
      <c r="B157" s="223">
        <f>SUBTOTAL(9,$A$16:A157)</f>
        <v>124</v>
      </c>
      <c r="C157" s="226" t="s">
        <v>662</v>
      </c>
      <c r="D157" s="227"/>
      <c r="E157" s="216">
        <v>1977</v>
      </c>
      <c r="F157" s="216" t="s">
        <v>419</v>
      </c>
      <c r="G157" s="216">
        <v>5</v>
      </c>
      <c r="H157" s="216" t="s">
        <v>321</v>
      </c>
      <c r="I157" s="217">
        <v>3322.4</v>
      </c>
      <c r="J157" s="217">
        <v>3122.4</v>
      </c>
      <c r="K157" s="218">
        <v>134</v>
      </c>
      <c r="L157" s="216" t="s">
        <v>417</v>
      </c>
      <c r="M157" s="216" t="s">
        <v>423</v>
      </c>
      <c r="N157" s="219" t="s">
        <v>664</v>
      </c>
      <c r="O157" s="228">
        <v>12753618.59</v>
      </c>
      <c r="P157" s="228">
        <v>0</v>
      </c>
      <c r="Q157" s="228">
        <v>0</v>
      </c>
      <c r="R157" s="228">
        <v>0</v>
      </c>
      <c r="S157" s="228">
        <f t="shared" ref="S157" si="63">O157-Q157-R157</f>
        <v>12753618.59</v>
      </c>
      <c r="T157" s="235">
        <f t="shared" si="62"/>
        <v>3838.6764357091256</v>
      </c>
      <c r="U157" s="228">
        <v>4462.2860296773415</v>
      </c>
      <c r="V157" s="27">
        <f t="shared" si="54"/>
        <v>0</v>
      </c>
      <c r="W157" s="33">
        <v>0</v>
      </c>
      <c r="X157" s="33">
        <v>0</v>
      </c>
      <c r="Y157" s="33">
        <v>0</v>
      </c>
      <c r="Z157" s="33">
        <v>0</v>
      </c>
      <c r="AA157" s="34"/>
      <c r="AB157" s="1">
        <f>O157-P157-Q157-R157-S157</f>
        <v>0</v>
      </c>
      <c r="AD157" s="35">
        <v>0</v>
      </c>
      <c r="AE157">
        <f>AD157*8294.83/I157</f>
        <v>0</v>
      </c>
      <c r="BU157" s="1">
        <f>U157-T157</f>
        <v>623.6095939682159</v>
      </c>
      <c r="CN157" s="1"/>
      <c r="CR157" s="1"/>
    </row>
    <row r="158" spans="1:96" ht="35.25" x14ac:dyDescent="0.5">
      <c r="A158">
        <v>1</v>
      </c>
      <c r="B158" s="223">
        <f>SUBTOTAL(9,$A$16:A158)</f>
        <v>125</v>
      </c>
      <c r="C158" s="225" t="s">
        <v>280</v>
      </c>
      <c r="D158" s="216"/>
      <c r="E158" s="216">
        <v>1969</v>
      </c>
      <c r="F158" s="216" t="s">
        <v>419</v>
      </c>
      <c r="G158" s="216">
        <v>4</v>
      </c>
      <c r="H158" s="216" t="s">
        <v>321</v>
      </c>
      <c r="I158" s="217">
        <v>2773.1</v>
      </c>
      <c r="J158" s="217">
        <v>2503.15</v>
      </c>
      <c r="K158" s="218">
        <v>99</v>
      </c>
      <c r="L158" s="216" t="s">
        <v>417</v>
      </c>
      <c r="M158" s="216" t="s">
        <v>423</v>
      </c>
      <c r="N158" s="219" t="s">
        <v>468</v>
      </c>
      <c r="O158" s="221">
        <v>14069247.33</v>
      </c>
      <c r="P158" s="221">
        <v>0</v>
      </c>
      <c r="Q158" s="221">
        <v>0</v>
      </c>
      <c r="R158" s="221">
        <v>0</v>
      </c>
      <c r="S158" s="221">
        <f>O158-P158-Q158-R158</f>
        <v>14069247.33</v>
      </c>
      <c r="T158" s="221">
        <f>O158/I158</f>
        <v>5073.4727669395261</v>
      </c>
      <c r="U158" s="221">
        <v>5018.3100000000004</v>
      </c>
      <c r="V158" s="27">
        <f t="shared" si="54"/>
        <v>0</v>
      </c>
      <c r="CR158" s="1"/>
    </row>
    <row r="159" spans="1:96" ht="35.25" x14ac:dyDescent="0.5">
      <c r="A159">
        <v>1</v>
      </c>
      <c r="B159" s="223">
        <f>SUBTOTAL(9,$A$16:A159)</f>
        <v>126</v>
      </c>
      <c r="C159" s="226" t="s">
        <v>600</v>
      </c>
      <c r="D159" s="227"/>
      <c r="E159" s="216">
        <v>1979</v>
      </c>
      <c r="F159" s="216" t="s">
        <v>419</v>
      </c>
      <c r="G159" s="216">
        <v>5</v>
      </c>
      <c r="H159" s="216" t="s">
        <v>323</v>
      </c>
      <c r="I159" s="217">
        <v>5523</v>
      </c>
      <c r="J159" s="217">
        <v>4570.6000000000004</v>
      </c>
      <c r="K159" s="218">
        <v>208</v>
      </c>
      <c r="L159" s="216" t="s">
        <v>417</v>
      </c>
      <c r="M159" s="216" t="s">
        <v>423</v>
      </c>
      <c r="N159" s="219" t="s">
        <v>465</v>
      </c>
      <c r="O159" s="228">
        <v>9372377.9000000004</v>
      </c>
      <c r="P159" s="228">
        <v>0</v>
      </c>
      <c r="Q159" s="228">
        <v>0</v>
      </c>
      <c r="R159" s="228">
        <v>0</v>
      </c>
      <c r="S159" s="228">
        <f>O159-Q159-R159</f>
        <v>9372377.9000000004</v>
      </c>
      <c r="T159" s="235">
        <f>O159/I159</f>
        <v>1696.9722795582111</v>
      </c>
      <c r="U159" s="228">
        <v>3051</v>
      </c>
      <c r="V159" s="27">
        <f t="shared" si="54"/>
        <v>0</v>
      </c>
      <c r="W159" s="33">
        <v>0</v>
      </c>
      <c r="X159" s="33">
        <v>0</v>
      </c>
      <c r="Y159" s="33">
        <v>0</v>
      </c>
      <c r="Z159" s="33">
        <v>0</v>
      </c>
      <c r="AA159" s="34"/>
      <c r="AB159" s="1">
        <f>O159-P159-Q159-R159-S159</f>
        <v>0</v>
      </c>
      <c r="AD159" s="35">
        <v>0</v>
      </c>
      <c r="AE159">
        <f>AD159*8294.83/I159</f>
        <v>0</v>
      </c>
      <c r="AH159" t="e">
        <f>VLOOKUP(C159,AI:AJ,2,FALSE)</f>
        <v>#N/A</v>
      </c>
      <c r="BU159" s="1">
        <f>U159-T159</f>
        <v>1354.0277204417889</v>
      </c>
      <c r="BW159" t="e">
        <f>VLOOKUP(C159,BX:BY,2,FALSE)</f>
        <v>#N/A</v>
      </c>
      <c r="CN159" s="1"/>
      <c r="CR159" s="1"/>
    </row>
    <row r="160" spans="1:96" ht="35.25" x14ac:dyDescent="0.5">
      <c r="A160">
        <v>1</v>
      </c>
      <c r="B160" s="223">
        <f>SUBTOTAL(9,$A$16:A168)</f>
        <v>134</v>
      </c>
      <c r="C160" s="225" t="s">
        <v>281</v>
      </c>
      <c r="D160" s="216"/>
      <c r="E160" s="216">
        <v>1953</v>
      </c>
      <c r="F160" s="216" t="s">
        <v>419</v>
      </c>
      <c r="G160" s="216">
        <v>3</v>
      </c>
      <c r="H160" s="216" t="s">
        <v>326</v>
      </c>
      <c r="I160" s="217">
        <v>1674.11</v>
      </c>
      <c r="J160" s="217">
        <v>1256.1099999999999</v>
      </c>
      <c r="K160" s="218">
        <v>70</v>
      </c>
      <c r="L160" s="216" t="s">
        <v>417</v>
      </c>
      <c r="M160" s="216" t="s">
        <v>423</v>
      </c>
      <c r="N160" s="219" t="s">
        <v>490</v>
      </c>
      <c r="O160" s="221">
        <v>16558524.530000001</v>
      </c>
      <c r="P160" s="221">
        <v>0</v>
      </c>
      <c r="Q160" s="221">
        <v>0</v>
      </c>
      <c r="R160" s="221">
        <v>0</v>
      </c>
      <c r="S160" s="221">
        <f>O160-P160-Q160-R160</f>
        <v>16558524.530000001</v>
      </c>
      <c r="T160" s="221">
        <f>O160/I160</f>
        <v>9890.9417720460442</v>
      </c>
      <c r="U160" s="221">
        <v>10487.58</v>
      </c>
      <c r="V160" s="27">
        <f t="shared" si="54"/>
        <v>0</v>
      </c>
      <c r="CR160" s="1"/>
    </row>
    <row r="161" spans="1:96" ht="35.25" x14ac:dyDescent="0.5">
      <c r="B161" s="236" t="s">
        <v>695</v>
      </c>
      <c r="C161" s="236"/>
      <c r="D161" s="216" t="s">
        <v>422</v>
      </c>
      <c r="E161" s="216" t="s">
        <v>422</v>
      </c>
      <c r="F161" s="216" t="s">
        <v>422</v>
      </c>
      <c r="G161" s="216" t="s">
        <v>422</v>
      </c>
      <c r="H161" s="216" t="s">
        <v>422</v>
      </c>
      <c r="I161" s="217">
        <f>SUM(I162:I168)</f>
        <v>8332.4</v>
      </c>
      <c r="J161" s="217">
        <f t="shared" ref="J161:K161" si="64">SUM(J162:J168)</f>
        <v>6490.3</v>
      </c>
      <c r="K161" s="218">
        <f t="shared" si="64"/>
        <v>339</v>
      </c>
      <c r="L161" s="216" t="s">
        <v>422</v>
      </c>
      <c r="M161" s="216" t="s">
        <v>422</v>
      </c>
      <c r="N161" s="219" t="s">
        <v>422</v>
      </c>
      <c r="O161" s="220">
        <f>SUM(O162:O168)</f>
        <v>53286193.409999996</v>
      </c>
      <c r="P161" s="220">
        <f t="shared" ref="P161:S161" si="65">SUM(P162:P168)</f>
        <v>0</v>
      </c>
      <c r="Q161" s="220">
        <f t="shared" si="65"/>
        <v>0</v>
      </c>
      <c r="R161" s="220">
        <f t="shared" si="65"/>
        <v>0</v>
      </c>
      <c r="S161" s="220">
        <f t="shared" si="65"/>
        <v>53286193.409999996</v>
      </c>
      <c r="T161" s="221">
        <f t="shared" si="62"/>
        <v>6395.0594558590565</v>
      </c>
      <c r="U161" s="221">
        <f>MAX(U162:U168)</f>
        <v>10908.11</v>
      </c>
      <c r="V161" s="27">
        <f t="shared" si="54"/>
        <v>0</v>
      </c>
      <c r="CR161" s="1"/>
    </row>
    <row r="162" spans="1:96" ht="35.25" x14ac:dyDescent="0.5">
      <c r="A162">
        <v>1</v>
      </c>
      <c r="B162" s="223">
        <f>SUBTOTAL(9,$A$16:A162)</f>
        <v>128</v>
      </c>
      <c r="C162" s="225" t="s">
        <v>275</v>
      </c>
      <c r="D162" s="216"/>
      <c r="E162" s="216">
        <v>1966</v>
      </c>
      <c r="F162" s="216" t="s">
        <v>419</v>
      </c>
      <c r="G162" s="216">
        <v>4</v>
      </c>
      <c r="H162" s="216" t="s">
        <v>319</v>
      </c>
      <c r="I162" s="217">
        <v>1252.5</v>
      </c>
      <c r="J162" s="217">
        <v>1252.5</v>
      </c>
      <c r="K162" s="218">
        <v>83</v>
      </c>
      <c r="L162" s="216" t="s">
        <v>417</v>
      </c>
      <c r="M162" s="216" t="s">
        <v>423</v>
      </c>
      <c r="N162" s="219" t="s">
        <v>466</v>
      </c>
      <c r="O162" s="221">
        <v>7380588.1100000003</v>
      </c>
      <c r="P162" s="221">
        <v>0</v>
      </c>
      <c r="Q162" s="221">
        <v>0</v>
      </c>
      <c r="R162" s="221">
        <v>0</v>
      </c>
      <c r="S162" s="221">
        <f>O162-P162-Q162-R162</f>
        <v>7380588.1100000003</v>
      </c>
      <c r="T162" s="221">
        <f t="shared" si="62"/>
        <v>5892.6851177644712</v>
      </c>
      <c r="U162" s="221">
        <v>6003.55</v>
      </c>
      <c r="V162" s="27">
        <f t="shared" si="54"/>
        <v>0</v>
      </c>
      <c r="CR162" s="1"/>
    </row>
    <row r="163" spans="1:96" ht="35.25" x14ac:dyDescent="0.5">
      <c r="A163">
        <v>1</v>
      </c>
      <c r="B163" s="223">
        <f>SUBTOTAL(9,$A$16:A163)</f>
        <v>129</v>
      </c>
      <c r="C163" s="225" t="s">
        <v>627</v>
      </c>
      <c r="D163" s="216"/>
      <c r="E163" s="216">
        <v>1961</v>
      </c>
      <c r="F163" s="216" t="s">
        <v>419</v>
      </c>
      <c r="G163" s="216">
        <v>2</v>
      </c>
      <c r="H163" s="216">
        <v>2</v>
      </c>
      <c r="I163" s="217">
        <v>648.79999999999995</v>
      </c>
      <c r="J163" s="217">
        <v>428.1</v>
      </c>
      <c r="K163" s="218">
        <v>39</v>
      </c>
      <c r="L163" s="216" t="s">
        <v>417</v>
      </c>
      <c r="M163" s="216" t="s">
        <v>423</v>
      </c>
      <c r="N163" s="219" t="s">
        <v>470</v>
      </c>
      <c r="O163" s="221">
        <v>7457082.1899999995</v>
      </c>
      <c r="P163" s="221">
        <v>0</v>
      </c>
      <c r="Q163" s="221">
        <v>0</v>
      </c>
      <c r="R163" s="221">
        <v>0</v>
      </c>
      <c r="S163" s="221">
        <f>O163-P163-Q163-R163</f>
        <v>7457082.1899999995</v>
      </c>
      <c r="T163" s="221">
        <f t="shared" si="62"/>
        <v>11493.653190505549</v>
      </c>
      <c r="U163" s="221">
        <v>10908.11</v>
      </c>
      <c r="V163" s="27">
        <f t="shared" si="54"/>
        <v>0</v>
      </c>
      <c r="CR163" s="1"/>
    </row>
    <row r="164" spans="1:96" ht="35.25" x14ac:dyDescent="0.5">
      <c r="A164">
        <v>1</v>
      </c>
      <c r="B164" s="223">
        <f>SUBTOTAL(9,$A$16:A164)</f>
        <v>130</v>
      </c>
      <c r="C164" s="225" t="s">
        <v>276</v>
      </c>
      <c r="D164" s="216"/>
      <c r="E164" s="216">
        <v>1978</v>
      </c>
      <c r="F164" s="216" t="s">
        <v>420</v>
      </c>
      <c r="G164" s="216">
        <v>4</v>
      </c>
      <c r="H164" s="216" t="s">
        <v>317</v>
      </c>
      <c r="I164" s="217">
        <v>1180.4000000000001</v>
      </c>
      <c r="J164" s="217">
        <v>419.9</v>
      </c>
      <c r="K164" s="218">
        <v>34</v>
      </c>
      <c r="L164" s="216" t="s">
        <v>417</v>
      </c>
      <c r="M164" s="216" t="s">
        <v>424</v>
      </c>
      <c r="N164" s="219" t="s">
        <v>425</v>
      </c>
      <c r="O164" s="221">
        <v>9834855.0000000019</v>
      </c>
      <c r="P164" s="221">
        <v>0</v>
      </c>
      <c r="Q164" s="221">
        <v>0</v>
      </c>
      <c r="R164" s="221">
        <v>0</v>
      </c>
      <c r="S164" s="221">
        <f>O164-P164-Q164-R164</f>
        <v>9834855.0000000019</v>
      </c>
      <c r="T164" s="221">
        <f t="shared" si="62"/>
        <v>8331.7985428668253</v>
      </c>
      <c r="U164" s="221">
        <v>8331.7985428668235</v>
      </c>
      <c r="V164" s="27">
        <f t="shared" si="54"/>
        <v>0</v>
      </c>
      <c r="CR164" s="1"/>
    </row>
    <row r="165" spans="1:96" ht="35.25" x14ac:dyDescent="0.5">
      <c r="A165">
        <v>1</v>
      </c>
      <c r="B165" s="223">
        <f>SUBTOTAL(9,$A$16:A165)</f>
        <v>131</v>
      </c>
      <c r="C165" s="225" t="s">
        <v>277</v>
      </c>
      <c r="D165" s="216"/>
      <c r="E165" s="216">
        <v>1990</v>
      </c>
      <c r="F165" s="216" t="s">
        <v>419</v>
      </c>
      <c r="G165" s="216">
        <v>4</v>
      </c>
      <c r="H165" s="216" t="s">
        <v>326</v>
      </c>
      <c r="I165" s="217">
        <v>2316.1</v>
      </c>
      <c r="J165" s="217">
        <v>2316.1</v>
      </c>
      <c r="K165" s="218">
        <v>104</v>
      </c>
      <c r="L165" s="216" t="s">
        <v>417</v>
      </c>
      <c r="M165" s="216" t="s">
        <v>423</v>
      </c>
      <c r="N165" s="219" t="s">
        <v>467</v>
      </c>
      <c r="O165" s="221">
        <v>12789718.999999998</v>
      </c>
      <c r="P165" s="221">
        <v>0</v>
      </c>
      <c r="Q165" s="221">
        <v>0</v>
      </c>
      <c r="R165" s="221">
        <v>0</v>
      </c>
      <c r="S165" s="221">
        <f>O165-P165-Q165-R165</f>
        <v>12789718.999999998</v>
      </c>
      <c r="T165" s="221">
        <f t="shared" si="62"/>
        <v>5522.0927421095803</v>
      </c>
      <c r="U165" s="221">
        <v>5625.99</v>
      </c>
      <c r="V165" s="27">
        <f t="shared" si="54"/>
        <v>0</v>
      </c>
      <c r="CR165" s="1"/>
    </row>
    <row r="166" spans="1:96" ht="35.25" x14ac:dyDescent="0.5">
      <c r="A166">
        <v>1</v>
      </c>
      <c r="B166" s="223">
        <f>SUBTOTAL(9,$A$16:A166)</f>
        <v>132</v>
      </c>
      <c r="C166" s="225" t="s">
        <v>278</v>
      </c>
      <c r="D166" s="216"/>
      <c r="E166" s="216">
        <v>1984</v>
      </c>
      <c r="F166" s="216" t="s">
        <v>419</v>
      </c>
      <c r="G166" s="216">
        <v>2</v>
      </c>
      <c r="H166" s="216" t="s">
        <v>326</v>
      </c>
      <c r="I166" s="217">
        <v>1544.2</v>
      </c>
      <c r="J166" s="217">
        <v>852.3</v>
      </c>
      <c r="K166" s="218">
        <v>40</v>
      </c>
      <c r="L166" s="216" t="s">
        <v>417</v>
      </c>
      <c r="M166" s="216" t="s">
        <v>424</v>
      </c>
      <c r="N166" s="219" t="s">
        <v>425</v>
      </c>
      <c r="O166" s="221">
        <v>10220476.949999999</v>
      </c>
      <c r="P166" s="221">
        <v>0</v>
      </c>
      <c r="Q166" s="221">
        <v>0</v>
      </c>
      <c r="R166" s="221">
        <v>0</v>
      </c>
      <c r="S166" s="221">
        <f>O166-P166-Q166-R166</f>
        <v>10220476.949999999</v>
      </c>
      <c r="T166" s="221">
        <f t="shared" si="62"/>
        <v>6618.6225553684753</v>
      </c>
      <c r="U166" s="221">
        <v>6743.15</v>
      </c>
      <c r="V166" s="27">
        <f t="shared" si="54"/>
        <v>0</v>
      </c>
      <c r="CR166" s="1"/>
    </row>
    <row r="167" spans="1:96" ht="35.25" x14ac:dyDescent="0.5">
      <c r="A167">
        <v>1</v>
      </c>
      <c r="B167" s="223">
        <f>SUBTOTAL(9,$A$16:A167)</f>
        <v>133</v>
      </c>
      <c r="C167" s="226" t="s">
        <v>601</v>
      </c>
      <c r="D167" s="227" t="s">
        <v>421</v>
      </c>
      <c r="E167" s="216">
        <v>1917</v>
      </c>
      <c r="F167" s="216" t="s">
        <v>419</v>
      </c>
      <c r="G167" s="216">
        <v>2</v>
      </c>
      <c r="H167" s="216" t="s">
        <v>317</v>
      </c>
      <c r="I167" s="217">
        <v>609.5</v>
      </c>
      <c r="J167" s="217">
        <v>564.4</v>
      </c>
      <c r="K167" s="218">
        <v>18</v>
      </c>
      <c r="L167" s="216" t="s">
        <v>417</v>
      </c>
      <c r="M167" s="216" t="s">
        <v>424</v>
      </c>
      <c r="N167" s="219" t="s">
        <v>425</v>
      </c>
      <c r="O167" s="228">
        <v>4754109.129999999</v>
      </c>
      <c r="P167" s="228">
        <v>0</v>
      </c>
      <c r="Q167" s="228">
        <v>0</v>
      </c>
      <c r="R167" s="228">
        <v>0</v>
      </c>
      <c r="S167" s="228">
        <f t="shared" ref="S167" si="66">O167-Q167-R167</f>
        <v>4754109.129999999</v>
      </c>
      <c r="T167" s="235">
        <f>O167/I167</f>
        <v>7800.014979491385</v>
      </c>
      <c r="U167" s="228">
        <v>10659.64</v>
      </c>
      <c r="V167" s="27">
        <f t="shared" si="54"/>
        <v>0</v>
      </c>
      <c r="W167" s="33">
        <v>0</v>
      </c>
      <c r="X167" s="33">
        <v>0</v>
      </c>
      <c r="Y167" s="33">
        <v>0</v>
      </c>
      <c r="Z167" s="33">
        <v>0</v>
      </c>
      <c r="AA167" s="34"/>
      <c r="AB167" s="1">
        <f>O167-P167-Q167-R167-S167</f>
        <v>0</v>
      </c>
      <c r="AD167" s="35">
        <v>0</v>
      </c>
      <c r="AE167">
        <f>AD167*8294.83/I167</f>
        <v>0</v>
      </c>
      <c r="AH167" t="e">
        <f>VLOOKUP(C167,AI:AJ,2,FALSE)</f>
        <v>#N/A</v>
      </c>
      <c r="BU167" s="1">
        <f>U167-T167</f>
        <v>2859.6250205086144</v>
      </c>
      <c r="BW167" t="e">
        <f>VLOOKUP(C167,BX:BY,2,FALSE)</f>
        <v>#N/A</v>
      </c>
      <c r="CN167" s="1"/>
      <c r="CR167" s="1"/>
    </row>
    <row r="168" spans="1:96" ht="35.25" x14ac:dyDescent="0.5">
      <c r="A168">
        <v>1</v>
      </c>
      <c r="B168" s="223">
        <f>SUBTOTAL(9,$A$16:A168)</f>
        <v>134</v>
      </c>
      <c r="C168" s="225" t="s">
        <v>279</v>
      </c>
      <c r="D168" s="216"/>
      <c r="E168" s="216">
        <v>1962</v>
      </c>
      <c r="F168" s="216" t="s">
        <v>367</v>
      </c>
      <c r="G168" s="216">
        <v>2</v>
      </c>
      <c r="H168" s="216" t="s">
        <v>321</v>
      </c>
      <c r="I168" s="217">
        <v>780.9</v>
      </c>
      <c r="J168" s="217">
        <v>657</v>
      </c>
      <c r="K168" s="218">
        <v>21</v>
      </c>
      <c r="L168" s="216" t="s">
        <v>417</v>
      </c>
      <c r="M168" s="216" t="s">
        <v>424</v>
      </c>
      <c r="N168" s="219" t="s">
        <v>425</v>
      </c>
      <c r="O168" s="221">
        <v>849363.02999999991</v>
      </c>
      <c r="P168" s="221">
        <v>0</v>
      </c>
      <c r="Q168" s="221">
        <v>0</v>
      </c>
      <c r="R168" s="221">
        <v>0</v>
      </c>
      <c r="S168" s="221">
        <f>O168-P168-Q168-R168</f>
        <v>849363.02999999991</v>
      </c>
      <c r="T168" s="221">
        <f t="shared" si="62"/>
        <v>1087.6719554360352</v>
      </c>
      <c r="U168" s="221">
        <v>1292.79</v>
      </c>
      <c r="V168" s="27">
        <f t="shared" si="54"/>
        <v>0</v>
      </c>
      <c r="CR168" s="1"/>
    </row>
    <row r="169" spans="1:96" ht="35.25" x14ac:dyDescent="0.5">
      <c r="B169" s="215" t="s">
        <v>688</v>
      </c>
      <c r="C169" s="215"/>
      <c r="D169" s="216" t="s">
        <v>422</v>
      </c>
      <c r="E169" s="216" t="s">
        <v>422</v>
      </c>
      <c r="F169" s="216" t="s">
        <v>422</v>
      </c>
      <c r="G169" s="216" t="s">
        <v>422</v>
      </c>
      <c r="H169" s="216" t="s">
        <v>422</v>
      </c>
      <c r="I169" s="217">
        <f>I170</f>
        <v>400.8</v>
      </c>
      <c r="J169" s="217">
        <f t="shared" ref="J169:K169" si="67">J170</f>
        <v>225.2</v>
      </c>
      <c r="K169" s="218">
        <f t="shared" si="67"/>
        <v>21</v>
      </c>
      <c r="L169" s="216" t="s">
        <v>422</v>
      </c>
      <c r="M169" s="216" t="s">
        <v>422</v>
      </c>
      <c r="N169" s="219" t="s">
        <v>422</v>
      </c>
      <c r="O169" s="221">
        <v>5480018.8700000001</v>
      </c>
      <c r="P169" s="221">
        <f t="shared" ref="P169:S169" si="68">P170</f>
        <v>0</v>
      </c>
      <c r="Q169" s="221">
        <f t="shared" si="68"/>
        <v>0</v>
      </c>
      <c r="R169" s="221">
        <f t="shared" si="68"/>
        <v>0</v>
      </c>
      <c r="S169" s="221">
        <f t="shared" si="68"/>
        <v>5480018.8700000001</v>
      </c>
      <c r="T169" s="221">
        <f t="shared" si="62"/>
        <v>13672.701771457087</v>
      </c>
      <c r="U169" s="221">
        <f>U170</f>
        <v>14101.48</v>
      </c>
      <c r="V169" s="27">
        <f t="shared" si="54"/>
        <v>0</v>
      </c>
      <c r="CR169" s="1"/>
    </row>
    <row r="170" spans="1:96" ht="35.25" x14ac:dyDescent="0.5">
      <c r="A170">
        <v>1</v>
      </c>
      <c r="B170" s="223">
        <f>SUBTOTAL(9,$A$16:A170)</f>
        <v>135</v>
      </c>
      <c r="C170" s="225" t="s">
        <v>223</v>
      </c>
      <c r="D170" s="216"/>
      <c r="E170" s="216">
        <v>1980</v>
      </c>
      <c r="F170" s="216" t="s">
        <v>419</v>
      </c>
      <c r="G170" s="216">
        <v>2</v>
      </c>
      <c r="H170" s="216" t="s">
        <v>317</v>
      </c>
      <c r="I170" s="217">
        <v>400.8</v>
      </c>
      <c r="J170" s="217">
        <v>225.2</v>
      </c>
      <c r="K170" s="218">
        <v>21</v>
      </c>
      <c r="L170" s="216" t="s">
        <v>417</v>
      </c>
      <c r="M170" s="216" t="s">
        <v>424</v>
      </c>
      <c r="N170" s="219" t="s">
        <v>425</v>
      </c>
      <c r="O170" s="221">
        <v>5480018.8700000001</v>
      </c>
      <c r="P170" s="221">
        <v>0</v>
      </c>
      <c r="Q170" s="221">
        <v>0</v>
      </c>
      <c r="R170" s="221">
        <v>0</v>
      </c>
      <c r="S170" s="221">
        <f>O170-P170-Q170-R170</f>
        <v>5480018.8700000001</v>
      </c>
      <c r="T170" s="221">
        <f t="shared" si="62"/>
        <v>13672.701771457087</v>
      </c>
      <c r="U170" s="221">
        <v>14101.48</v>
      </c>
      <c r="V170" s="27">
        <f t="shared" si="54"/>
        <v>0</v>
      </c>
      <c r="CR170" s="1"/>
    </row>
    <row r="171" spans="1:96" ht="35.25" x14ac:dyDescent="0.5">
      <c r="B171" s="215" t="s">
        <v>241</v>
      </c>
      <c r="C171" s="215"/>
      <c r="D171" s="216" t="s">
        <v>422</v>
      </c>
      <c r="E171" s="216" t="s">
        <v>422</v>
      </c>
      <c r="F171" s="216" t="s">
        <v>422</v>
      </c>
      <c r="G171" s="216" t="s">
        <v>422</v>
      </c>
      <c r="H171" s="216" t="s">
        <v>422</v>
      </c>
      <c r="I171" s="217">
        <f>SUM(I172:I180)</f>
        <v>11956.66</v>
      </c>
      <c r="J171" s="217">
        <f t="shared" ref="J171:K171" si="69">SUM(J172:J180)</f>
        <v>8294.2000000000007</v>
      </c>
      <c r="K171" s="218">
        <f t="shared" si="69"/>
        <v>648</v>
      </c>
      <c r="L171" s="216" t="s">
        <v>422</v>
      </c>
      <c r="M171" s="216" t="s">
        <v>422</v>
      </c>
      <c r="N171" s="219" t="s">
        <v>422</v>
      </c>
      <c r="O171" s="221">
        <f>SUM(O172:O180)</f>
        <v>62490575.879999995</v>
      </c>
      <c r="P171" s="221">
        <f t="shared" ref="P171:S171" si="70">SUM(P172:P180)</f>
        <v>0</v>
      </c>
      <c r="Q171" s="221">
        <f t="shared" si="70"/>
        <v>0</v>
      </c>
      <c r="R171" s="221">
        <f t="shared" si="70"/>
        <v>0</v>
      </c>
      <c r="S171" s="221">
        <f t="shared" si="70"/>
        <v>62490575.879999995</v>
      </c>
      <c r="T171" s="221">
        <f t="shared" si="62"/>
        <v>5226.4240916777762</v>
      </c>
      <c r="U171" s="221">
        <f>MAX(U172:U180)</f>
        <v>13480.05</v>
      </c>
      <c r="V171" s="27">
        <f t="shared" si="54"/>
        <v>0</v>
      </c>
      <c r="CR171" s="1"/>
    </row>
    <row r="172" spans="1:96" ht="35.25" x14ac:dyDescent="0.5">
      <c r="A172">
        <v>1</v>
      </c>
      <c r="B172" s="223">
        <f>SUBTOTAL(9,$A$16:A172)</f>
        <v>136</v>
      </c>
      <c r="C172" s="225" t="s">
        <v>226</v>
      </c>
      <c r="D172" s="216"/>
      <c r="E172" s="216">
        <v>2008</v>
      </c>
      <c r="F172" s="216" t="s">
        <v>420</v>
      </c>
      <c r="G172" s="216">
        <v>2</v>
      </c>
      <c r="H172" s="216" t="s">
        <v>319</v>
      </c>
      <c r="I172" s="217">
        <v>1338.2</v>
      </c>
      <c r="J172" s="217">
        <v>597.9</v>
      </c>
      <c r="K172" s="218">
        <v>44</v>
      </c>
      <c r="L172" s="216" t="s">
        <v>417</v>
      </c>
      <c r="M172" s="216" t="s">
        <v>423</v>
      </c>
      <c r="N172" s="219" t="s">
        <v>454</v>
      </c>
      <c r="O172" s="221">
        <v>7712402.0899999999</v>
      </c>
      <c r="P172" s="221">
        <v>0</v>
      </c>
      <c r="Q172" s="221">
        <v>0</v>
      </c>
      <c r="R172" s="221">
        <v>0</v>
      </c>
      <c r="S172" s="221">
        <f t="shared" ref="S172:S177" si="71">O172-P172-Q172-R172</f>
        <v>7712402.0899999999</v>
      </c>
      <c r="T172" s="221">
        <f t="shared" si="62"/>
        <v>5763.2656478852186</v>
      </c>
      <c r="U172" s="221">
        <v>5899.35</v>
      </c>
      <c r="V172" s="27">
        <f t="shared" si="54"/>
        <v>0</v>
      </c>
      <c r="CR172" s="1"/>
    </row>
    <row r="173" spans="1:96" ht="35.25" x14ac:dyDescent="0.5">
      <c r="A173">
        <v>1</v>
      </c>
      <c r="B173" s="223">
        <f>SUBTOTAL(9,$A$16:A173)</f>
        <v>137</v>
      </c>
      <c r="C173" s="225" t="s">
        <v>227</v>
      </c>
      <c r="D173" s="216"/>
      <c r="E173" s="216">
        <v>1978</v>
      </c>
      <c r="F173" s="216" t="s">
        <v>419</v>
      </c>
      <c r="G173" s="216">
        <v>2</v>
      </c>
      <c r="H173" s="216" t="s">
        <v>317</v>
      </c>
      <c r="I173" s="217">
        <v>365.5</v>
      </c>
      <c r="J173" s="217">
        <v>334.3</v>
      </c>
      <c r="K173" s="218">
        <v>17</v>
      </c>
      <c r="L173" s="216" t="s">
        <v>417</v>
      </c>
      <c r="M173" s="216" t="s">
        <v>423</v>
      </c>
      <c r="N173" s="219" t="s">
        <v>455</v>
      </c>
      <c r="O173" s="221">
        <v>4864423.4000000004</v>
      </c>
      <c r="P173" s="221">
        <v>0</v>
      </c>
      <c r="Q173" s="221">
        <v>0</v>
      </c>
      <c r="R173" s="221">
        <v>0</v>
      </c>
      <c r="S173" s="221">
        <f t="shared" si="71"/>
        <v>4864423.4000000004</v>
      </c>
      <c r="T173" s="221">
        <f t="shared" si="62"/>
        <v>13308.955950752395</v>
      </c>
      <c r="U173" s="221">
        <v>13480.05</v>
      </c>
      <c r="V173" s="27">
        <f t="shared" si="54"/>
        <v>0</v>
      </c>
      <c r="CR173" s="1"/>
    </row>
    <row r="174" spans="1:96" ht="35.25" x14ac:dyDescent="0.5">
      <c r="A174">
        <v>1</v>
      </c>
      <c r="B174" s="223">
        <f>SUBTOTAL(9,$A$16:A174)</f>
        <v>138</v>
      </c>
      <c r="C174" s="225" t="s">
        <v>228</v>
      </c>
      <c r="D174" s="216"/>
      <c r="E174" s="216">
        <v>1982</v>
      </c>
      <c r="F174" s="216" t="s">
        <v>419</v>
      </c>
      <c r="G174" s="216">
        <v>2</v>
      </c>
      <c r="H174" s="216" t="s">
        <v>317</v>
      </c>
      <c r="I174" s="217">
        <v>389.1</v>
      </c>
      <c r="J174" s="217">
        <v>355.5</v>
      </c>
      <c r="K174" s="218">
        <v>19</v>
      </c>
      <c r="L174" s="216" t="s">
        <v>417</v>
      </c>
      <c r="M174" s="216" t="s">
        <v>423</v>
      </c>
      <c r="N174" s="219" t="s">
        <v>455</v>
      </c>
      <c r="O174" s="221">
        <v>4043407.75</v>
      </c>
      <c r="P174" s="221">
        <v>0</v>
      </c>
      <c r="Q174" s="221">
        <v>0</v>
      </c>
      <c r="R174" s="221">
        <v>0</v>
      </c>
      <c r="S174" s="221">
        <f t="shared" si="71"/>
        <v>4043407.75</v>
      </c>
      <c r="T174" s="221">
        <f t="shared" si="62"/>
        <v>10391.693009509123</v>
      </c>
      <c r="U174" s="221">
        <v>10547.98</v>
      </c>
      <c r="V174" s="27">
        <f t="shared" si="54"/>
        <v>0</v>
      </c>
      <c r="CR174" s="1"/>
    </row>
    <row r="175" spans="1:96" ht="35.25" x14ac:dyDescent="0.5">
      <c r="A175">
        <v>1</v>
      </c>
      <c r="B175" s="223">
        <f>SUBTOTAL(9,$A$16:A175)</f>
        <v>139</v>
      </c>
      <c r="C175" s="225" t="s">
        <v>229</v>
      </c>
      <c r="D175" s="216"/>
      <c r="E175" s="216">
        <v>1968</v>
      </c>
      <c r="F175" s="216" t="s">
        <v>419</v>
      </c>
      <c r="G175" s="216">
        <v>2</v>
      </c>
      <c r="H175" s="216" t="s">
        <v>319</v>
      </c>
      <c r="I175" s="217">
        <v>685</v>
      </c>
      <c r="J175" s="217">
        <v>633</v>
      </c>
      <c r="K175" s="218">
        <v>33</v>
      </c>
      <c r="L175" s="216" t="s">
        <v>417</v>
      </c>
      <c r="M175" s="216" t="s">
        <v>423</v>
      </c>
      <c r="N175" s="219" t="s">
        <v>455</v>
      </c>
      <c r="O175" s="221">
        <v>6518643.0799999991</v>
      </c>
      <c r="P175" s="221">
        <v>0</v>
      </c>
      <c r="Q175" s="221">
        <v>0</v>
      </c>
      <c r="R175" s="221">
        <v>0</v>
      </c>
      <c r="S175" s="221">
        <f t="shared" si="71"/>
        <v>6518643.0799999991</v>
      </c>
      <c r="T175" s="221">
        <f t="shared" si="62"/>
        <v>9516.2672700729909</v>
      </c>
      <c r="U175" s="221">
        <v>9728.9</v>
      </c>
      <c r="V175" s="27">
        <f t="shared" si="54"/>
        <v>0</v>
      </c>
      <c r="CR175" s="1"/>
    </row>
    <row r="176" spans="1:96" ht="35.25" x14ac:dyDescent="0.5">
      <c r="A176">
        <v>1</v>
      </c>
      <c r="B176" s="223">
        <f>SUBTOTAL(9,$A$16:A176)</f>
        <v>140</v>
      </c>
      <c r="C176" s="225" t="s">
        <v>230</v>
      </c>
      <c r="D176" s="216"/>
      <c r="E176" s="216">
        <v>1970</v>
      </c>
      <c r="F176" s="216" t="s">
        <v>419</v>
      </c>
      <c r="G176" s="216">
        <v>2</v>
      </c>
      <c r="H176" s="216" t="s">
        <v>317</v>
      </c>
      <c r="I176" s="217">
        <v>392</v>
      </c>
      <c r="J176" s="217">
        <v>357</v>
      </c>
      <c r="K176" s="218">
        <v>23</v>
      </c>
      <c r="L176" s="216" t="s">
        <v>417</v>
      </c>
      <c r="M176" s="216" t="s">
        <v>423</v>
      </c>
      <c r="N176" s="219" t="s">
        <v>455</v>
      </c>
      <c r="O176" s="221">
        <v>4061218.0700000003</v>
      </c>
      <c r="P176" s="221">
        <v>0</v>
      </c>
      <c r="Q176" s="221">
        <v>0</v>
      </c>
      <c r="R176" s="221">
        <v>0</v>
      </c>
      <c r="S176" s="221">
        <f t="shared" si="71"/>
        <v>4061218.0700000003</v>
      </c>
      <c r="T176" s="221">
        <f t="shared" si="62"/>
        <v>10360.250178571428</v>
      </c>
      <c r="U176" s="221">
        <v>10521.54</v>
      </c>
      <c r="V176" s="27">
        <f t="shared" si="54"/>
        <v>0</v>
      </c>
      <c r="CR176" s="1"/>
    </row>
    <row r="177" spans="1:96" ht="35.25" x14ac:dyDescent="0.5">
      <c r="A177">
        <v>1</v>
      </c>
      <c r="B177" s="223">
        <f>SUBTOTAL(9,$A$16:A177)</f>
        <v>141</v>
      </c>
      <c r="C177" s="225" t="s">
        <v>231</v>
      </c>
      <c r="D177" s="216"/>
      <c r="E177" s="216">
        <v>1982</v>
      </c>
      <c r="F177" s="216" t="s">
        <v>419</v>
      </c>
      <c r="G177" s="216">
        <v>2</v>
      </c>
      <c r="H177" s="216" t="s">
        <v>326</v>
      </c>
      <c r="I177" s="217">
        <v>928.9</v>
      </c>
      <c r="J177" s="217">
        <v>843.4</v>
      </c>
      <c r="K177" s="218">
        <v>45</v>
      </c>
      <c r="L177" s="216" t="s">
        <v>417</v>
      </c>
      <c r="M177" s="216" t="s">
        <v>423</v>
      </c>
      <c r="N177" s="219" t="s">
        <v>455</v>
      </c>
      <c r="O177" s="221">
        <v>9367053.3000000007</v>
      </c>
      <c r="P177" s="221">
        <v>0</v>
      </c>
      <c r="Q177" s="221">
        <v>0</v>
      </c>
      <c r="R177" s="221">
        <v>0</v>
      </c>
      <c r="S177" s="221">
        <f t="shared" si="71"/>
        <v>9367053.3000000007</v>
      </c>
      <c r="T177" s="221">
        <f t="shared" si="62"/>
        <v>10084.027667133169</v>
      </c>
      <c r="U177" s="221">
        <v>10267.459999999999</v>
      </c>
      <c r="V177" s="27">
        <f t="shared" si="54"/>
        <v>0</v>
      </c>
      <c r="CR177" s="1"/>
    </row>
    <row r="178" spans="1:96" ht="35.25" x14ac:dyDescent="0.5">
      <c r="A178">
        <v>1</v>
      </c>
      <c r="B178" s="223">
        <f>SUBTOTAL(9,$A$16:A178)</f>
        <v>142</v>
      </c>
      <c r="C178" s="225" t="s">
        <v>586</v>
      </c>
      <c r="D178" s="216"/>
      <c r="E178" s="216">
        <v>1975</v>
      </c>
      <c r="F178" s="216" t="s">
        <v>419</v>
      </c>
      <c r="G178" s="216">
        <v>5</v>
      </c>
      <c r="H178" s="216">
        <v>3</v>
      </c>
      <c r="I178" s="217">
        <v>5620.36</v>
      </c>
      <c r="J178" s="217">
        <v>3145.4</v>
      </c>
      <c r="K178" s="218">
        <v>341</v>
      </c>
      <c r="L178" s="216" t="s">
        <v>417</v>
      </c>
      <c r="M178" s="216" t="s">
        <v>424</v>
      </c>
      <c r="N178" s="219" t="s">
        <v>425</v>
      </c>
      <c r="O178" s="221">
        <v>7452578.6799999997</v>
      </c>
      <c r="P178" s="221">
        <v>0</v>
      </c>
      <c r="Q178" s="221">
        <v>0</v>
      </c>
      <c r="R178" s="221">
        <v>0</v>
      </c>
      <c r="S178" s="221">
        <f t="shared" ref="S178:S180" si="72">O178-P178-Q178-R178</f>
        <v>7452578.6799999997</v>
      </c>
      <c r="T178" s="221">
        <f t="shared" si="62"/>
        <v>1325.9966763694852</v>
      </c>
      <c r="U178" s="221">
        <v>1375.6</v>
      </c>
      <c r="V178" s="27">
        <f t="shared" si="54"/>
        <v>0</v>
      </c>
      <c r="CR178" s="1"/>
    </row>
    <row r="179" spans="1:96" ht="35.25" x14ac:dyDescent="0.5">
      <c r="A179">
        <v>1</v>
      </c>
      <c r="B179" s="223">
        <f>SUBTOTAL(9,$A$16:A179)</f>
        <v>143</v>
      </c>
      <c r="C179" s="225" t="s">
        <v>587</v>
      </c>
      <c r="D179" s="216"/>
      <c r="E179" s="216">
        <v>1971</v>
      </c>
      <c r="F179" s="216" t="s">
        <v>419</v>
      </c>
      <c r="G179" s="216">
        <v>2</v>
      </c>
      <c r="H179" s="216">
        <v>2</v>
      </c>
      <c r="I179" s="217">
        <v>745.7</v>
      </c>
      <c r="J179" s="217">
        <v>692.6</v>
      </c>
      <c r="K179" s="218">
        <v>44</v>
      </c>
      <c r="L179" s="216" t="s">
        <v>417</v>
      </c>
      <c r="M179" s="216" t="s">
        <v>423</v>
      </c>
      <c r="N179" s="219" t="s">
        <v>588</v>
      </c>
      <c r="O179" s="221">
        <v>8409942.5600000005</v>
      </c>
      <c r="P179" s="221">
        <v>0</v>
      </c>
      <c r="Q179" s="221">
        <v>0</v>
      </c>
      <c r="R179" s="221">
        <v>0</v>
      </c>
      <c r="S179" s="221">
        <f t="shared" si="72"/>
        <v>8409942.5600000005</v>
      </c>
      <c r="T179" s="221">
        <f t="shared" si="62"/>
        <v>11277.916803003889</v>
      </c>
      <c r="U179" s="221">
        <v>11316.28</v>
      </c>
      <c r="V179" s="27">
        <f t="shared" si="54"/>
        <v>0</v>
      </c>
      <c r="CR179" s="1"/>
    </row>
    <row r="180" spans="1:96" ht="35.25" x14ac:dyDescent="0.5">
      <c r="A180">
        <v>1</v>
      </c>
      <c r="B180" s="223">
        <f>SUBTOTAL(9,$A$16:A180)</f>
        <v>144</v>
      </c>
      <c r="C180" s="225" t="s">
        <v>713</v>
      </c>
      <c r="D180" s="216"/>
      <c r="E180" s="216">
        <v>1987</v>
      </c>
      <c r="F180" s="216" t="s">
        <v>419</v>
      </c>
      <c r="G180" s="216">
        <v>3</v>
      </c>
      <c r="H180" s="216">
        <v>3</v>
      </c>
      <c r="I180" s="217">
        <v>1491.9</v>
      </c>
      <c r="J180" s="217">
        <v>1335.1</v>
      </c>
      <c r="K180" s="218">
        <v>82</v>
      </c>
      <c r="L180" s="216" t="s">
        <v>417</v>
      </c>
      <c r="M180" s="216" t="s">
        <v>423</v>
      </c>
      <c r="N180" s="219" t="s">
        <v>455</v>
      </c>
      <c r="O180" s="221">
        <v>10060906.949999999</v>
      </c>
      <c r="P180" s="221">
        <v>0</v>
      </c>
      <c r="Q180" s="221">
        <v>0</v>
      </c>
      <c r="R180" s="221">
        <v>0</v>
      </c>
      <c r="S180" s="221">
        <f t="shared" si="72"/>
        <v>10060906.949999999</v>
      </c>
      <c r="T180" s="221">
        <f t="shared" si="62"/>
        <v>6743.6872109390697</v>
      </c>
      <c r="U180" s="221">
        <v>6743.69</v>
      </c>
      <c r="V180" s="27">
        <f t="shared" si="54"/>
        <v>0</v>
      </c>
      <c r="CR180" s="1"/>
    </row>
    <row r="181" spans="1:96" ht="35.25" x14ac:dyDescent="0.5">
      <c r="B181" s="215" t="s">
        <v>668</v>
      </c>
      <c r="C181" s="215"/>
      <c r="D181" s="216" t="s">
        <v>422</v>
      </c>
      <c r="E181" s="216" t="s">
        <v>422</v>
      </c>
      <c r="F181" s="216" t="s">
        <v>422</v>
      </c>
      <c r="G181" s="216" t="s">
        <v>422</v>
      </c>
      <c r="H181" s="216" t="s">
        <v>422</v>
      </c>
      <c r="I181" s="217">
        <f>I182+I183+I184+I185+I186</f>
        <v>3024.8999999999996</v>
      </c>
      <c r="J181" s="217">
        <f t="shared" ref="J181:K181" si="73">J182+J183+J184+J185+J186</f>
        <v>2202.9</v>
      </c>
      <c r="K181" s="218">
        <f t="shared" si="73"/>
        <v>175</v>
      </c>
      <c r="L181" s="216" t="s">
        <v>422</v>
      </c>
      <c r="M181" s="216" t="s">
        <v>422</v>
      </c>
      <c r="N181" s="219" t="s">
        <v>422</v>
      </c>
      <c r="O181" s="221">
        <f>SUM(O182:O186)</f>
        <v>35034746.390000001</v>
      </c>
      <c r="P181" s="221">
        <f t="shared" ref="P181:S181" si="74">SUM(P182:P186)</f>
        <v>0</v>
      </c>
      <c r="Q181" s="221">
        <f t="shared" si="74"/>
        <v>0</v>
      </c>
      <c r="R181" s="221">
        <f t="shared" si="74"/>
        <v>0</v>
      </c>
      <c r="S181" s="221">
        <f t="shared" si="74"/>
        <v>35034746.390000001</v>
      </c>
      <c r="T181" s="221">
        <f t="shared" ref="T181" si="75">O181/I181</f>
        <v>11582.117223709876</v>
      </c>
      <c r="U181" s="221">
        <f>MAX(U182:U186)</f>
        <v>17601.8</v>
      </c>
      <c r="V181" s="27">
        <f t="shared" si="54"/>
        <v>0</v>
      </c>
      <c r="CR181" s="1"/>
    </row>
    <row r="182" spans="1:96" ht="35.25" x14ac:dyDescent="0.5">
      <c r="A182">
        <v>1</v>
      </c>
      <c r="B182" s="223">
        <f>SUBTOTAL(9,$A$16:A182)</f>
        <v>145</v>
      </c>
      <c r="C182" s="226" t="s">
        <v>606</v>
      </c>
      <c r="D182" s="227" t="s">
        <v>421</v>
      </c>
      <c r="E182" s="216">
        <v>1917</v>
      </c>
      <c r="F182" s="216" t="s">
        <v>419</v>
      </c>
      <c r="G182" s="216">
        <v>2</v>
      </c>
      <c r="H182" s="216" t="s">
        <v>321</v>
      </c>
      <c r="I182" s="217">
        <v>396.4</v>
      </c>
      <c r="J182" s="217">
        <v>235</v>
      </c>
      <c r="K182" s="218">
        <v>13</v>
      </c>
      <c r="L182" s="216" t="s">
        <v>417</v>
      </c>
      <c r="M182" s="216" t="s">
        <v>423</v>
      </c>
      <c r="N182" s="219" t="s">
        <v>625</v>
      </c>
      <c r="O182" s="228">
        <v>4043966.09</v>
      </c>
      <c r="P182" s="228">
        <v>0</v>
      </c>
      <c r="Q182" s="228">
        <v>0</v>
      </c>
      <c r="R182" s="228">
        <v>0</v>
      </c>
      <c r="S182" s="228">
        <f t="shared" ref="S182" si="76">O182-Q182-R182</f>
        <v>4043966.09</v>
      </c>
      <c r="T182" s="235">
        <f t="shared" si="62"/>
        <v>10201.73080221998</v>
      </c>
      <c r="U182" s="228">
        <v>17601.8</v>
      </c>
      <c r="V182" s="27">
        <f t="shared" si="54"/>
        <v>0</v>
      </c>
      <c r="W182" s="33">
        <v>0</v>
      </c>
      <c r="X182" s="33">
        <v>0</v>
      </c>
      <c r="Y182" s="33">
        <v>0</v>
      </c>
      <c r="Z182" s="33">
        <v>0</v>
      </c>
      <c r="AA182" s="34"/>
      <c r="AB182" s="1">
        <f>O182-P182-Q182-R182-S182</f>
        <v>0</v>
      </c>
      <c r="AD182" s="35">
        <v>608</v>
      </c>
      <c r="AE182">
        <f>AD182*8294.83/I182</f>
        <v>12722.645408678103</v>
      </c>
      <c r="AH182" t="e">
        <f>VLOOKUP(C182,AI:AJ,2,FALSE)</f>
        <v>#N/A</v>
      </c>
      <c r="BU182" s="1">
        <f>U182-T182</f>
        <v>7400.0691977800197</v>
      </c>
      <c r="BW182" t="e">
        <f>VLOOKUP(C182,BX:BY,2,FALSE)</f>
        <v>#N/A</v>
      </c>
      <c r="CN182" s="1"/>
      <c r="CR182" s="1"/>
    </row>
    <row r="183" spans="1:96" ht="35.25" x14ac:dyDescent="0.5">
      <c r="A183">
        <v>1</v>
      </c>
      <c r="B183" s="223">
        <f>SUBTOTAL(9,$A$16:A183)</f>
        <v>146</v>
      </c>
      <c r="C183" s="225" t="s">
        <v>243</v>
      </c>
      <c r="D183" s="216"/>
      <c r="E183" s="216">
        <v>1973</v>
      </c>
      <c r="F183" s="216" t="s">
        <v>419</v>
      </c>
      <c r="G183" s="216">
        <v>2</v>
      </c>
      <c r="H183" s="216" t="s">
        <v>319</v>
      </c>
      <c r="I183" s="217">
        <v>682.9</v>
      </c>
      <c r="J183" s="217">
        <v>455</v>
      </c>
      <c r="K183" s="218">
        <v>42</v>
      </c>
      <c r="L183" s="216" t="s">
        <v>417</v>
      </c>
      <c r="M183" s="216" t="s">
        <v>423</v>
      </c>
      <c r="N183" s="219" t="s">
        <v>458</v>
      </c>
      <c r="O183" s="221">
        <v>8756400.9700000007</v>
      </c>
      <c r="P183" s="221">
        <v>0</v>
      </c>
      <c r="Q183" s="221">
        <v>0</v>
      </c>
      <c r="R183" s="221">
        <v>0</v>
      </c>
      <c r="S183" s="221">
        <f>O183-P183-Q183-R183</f>
        <v>8756400.9700000007</v>
      </c>
      <c r="T183" s="221">
        <f t="shared" si="62"/>
        <v>12822.376585151562</v>
      </c>
      <c r="U183" s="221">
        <v>16921.580000000002</v>
      </c>
      <c r="V183" s="27">
        <f t="shared" si="54"/>
        <v>0</v>
      </c>
      <c r="CR183" s="1"/>
    </row>
    <row r="184" spans="1:96" ht="35.25" x14ac:dyDescent="0.5">
      <c r="A184">
        <v>1</v>
      </c>
      <c r="B184" s="223">
        <f>SUBTOTAL(9,$A$16:A184)</f>
        <v>147</v>
      </c>
      <c r="C184" s="225" t="s">
        <v>244</v>
      </c>
      <c r="D184" s="216"/>
      <c r="E184" s="216">
        <v>1971</v>
      </c>
      <c r="F184" s="216" t="s">
        <v>419</v>
      </c>
      <c r="G184" s="216">
        <v>2</v>
      </c>
      <c r="H184" s="216" t="s">
        <v>326</v>
      </c>
      <c r="I184" s="217">
        <v>854.8</v>
      </c>
      <c r="J184" s="217">
        <v>574.20000000000005</v>
      </c>
      <c r="K184" s="218">
        <v>57</v>
      </c>
      <c r="L184" s="216" t="s">
        <v>417</v>
      </c>
      <c r="M184" s="216" t="s">
        <v>423</v>
      </c>
      <c r="N184" s="219" t="s">
        <v>459</v>
      </c>
      <c r="O184" s="221">
        <v>9357004.4399999995</v>
      </c>
      <c r="P184" s="221">
        <v>0</v>
      </c>
      <c r="Q184" s="221">
        <v>0</v>
      </c>
      <c r="R184" s="221">
        <v>0</v>
      </c>
      <c r="S184" s="221">
        <f>O184-P184-Q184-R184</f>
        <v>9357004.4399999995</v>
      </c>
      <c r="T184" s="221">
        <f t="shared" si="62"/>
        <v>10946.425409452504</v>
      </c>
      <c r="U184" s="221">
        <v>16016.12</v>
      </c>
      <c r="V184" s="27">
        <f t="shared" si="54"/>
        <v>0</v>
      </c>
      <c r="CR184" s="1"/>
    </row>
    <row r="185" spans="1:96" ht="35.25" x14ac:dyDescent="0.5">
      <c r="A185">
        <v>1</v>
      </c>
      <c r="B185" s="223">
        <f>SUBTOTAL(9,$A$16:A185)</f>
        <v>148</v>
      </c>
      <c r="C185" s="225" t="s">
        <v>245</v>
      </c>
      <c r="D185" s="216"/>
      <c r="E185" s="216">
        <v>1971</v>
      </c>
      <c r="F185" s="216" t="s">
        <v>419</v>
      </c>
      <c r="G185" s="216">
        <v>2</v>
      </c>
      <c r="H185" s="216" t="s">
        <v>319</v>
      </c>
      <c r="I185" s="217">
        <v>718.6</v>
      </c>
      <c r="J185" s="217">
        <v>718.6</v>
      </c>
      <c r="K185" s="218">
        <v>42</v>
      </c>
      <c r="L185" s="216" t="s">
        <v>417</v>
      </c>
      <c r="M185" s="216" t="s">
        <v>423</v>
      </c>
      <c r="N185" s="219" t="s">
        <v>459</v>
      </c>
      <c r="O185" s="221">
        <v>8400688.3300000001</v>
      </c>
      <c r="P185" s="221">
        <v>0</v>
      </c>
      <c r="Q185" s="221">
        <v>0</v>
      </c>
      <c r="R185" s="221">
        <v>0</v>
      </c>
      <c r="S185" s="221">
        <f>O185-P185-Q185-R185</f>
        <v>8400688.3300000001</v>
      </c>
      <c r="T185" s="221">
        <f t="shared" ref="T185:T195" si="77">O185/I185</f>
        <v>11690.353924297244</v>
      </c>
      <c r="U185" s="221">
        <v>12292.62</v>
      </c>
      <c r="V185" s="27">
        <f t="shared" si="54"/>
        <v>0</v>
      </c>
      <c r="CR185" s="1"/>
    </row>
    <row r="186" spans="1:96" ht="35.25" x14ac:dyDescent="0.5">
      <c r="A186">
        <v>1</v>
      </c>
      <c r="B186" s="223">
        <f>SUBTOTAL(9,$A$16:A186)</f>
        <v>149</v>
      </c>
      <c r="C186" s="225" t="s">
        <v>666</v>
      </c>
      <c r="D186" s="216"/>
      <c r="E186" s="216">
        <v>1980</v>
      </c>
      <c r="F186" s="216" t="s">
        <v>419</v>
      </c>
      <c r="G186" s="216">
        <v>2</v>
      </c>
      <c r="H186" s="216">
        <v>1</v>
      </c>
      <c r="I186" s="217">
        <v>372.2</v>
      </c>
      <c r="J186" s="217">
        <v>220.1</v>
      </c>
      <c r="K186" s="218">
        <v>21</v>
      </c>
      <c r="L186" s="216" t="s">
        <v>417</v>
      </c>
      <c r="M186" s="216" t="s">
        <v>424</v>
      </c>
      <c r="N186" s="219" t="s">
        <v>425</v>
      </c>
      <c r="O186" s="221">
        <v>4476686.5600000005</v>
      </c>
      <c r="P186" s="221">
        <v>0</v>
      </c>
      <c r="Q186" s="221">
        <v>0</v>
      </c>
      <c r="R186" s="221">
        <v>0</v>
      </c>
      <c r="S186" s="221">
        <f>O186-P186-Q186-R186</f>
        <v>4476686.5600000005</v>
      </c>
      <c r="T186" s="221">
        <f t="shared" si="77"/>
        <v>12027.637184309513</v>
      </c>
      <c r="U186" s="221">
        <v>12039.66</v>
      </c>
      <c r="V186" s="27">
        <f t="shared" si="54"/>
        <v>0</v>
      </c>
      <c r="CR186" s="1"/>
    </row>
    <row r="187" spans="1:96" ht="35.25" x14ac:dyDescent="0.5">
      <c r="B187" s="215" t="s">
        <v>263</v>
      </c>
      <c r="C187" s="215"/>
      <c r="D187" s="216" t="s">
        <v>422</v>
      </c>
      <c r="E187" s="216" t="s">
        <v>422</v>
      </c>
      <c r="F187" s="216" t="s">
        <v>422</v>
      </c>
      <c r="G187" s="216" t="s">
        <v>422</v>
      </c>
      <c r="H187" s="216" t="s">
        <v>422</v>
      </c>
      <c r="I187" s="217">
        <f>I188</f>
        <v>961.7</v>
      </c>
      <c r="J187" s="217">
        <f t="shared" ref="J187:K187" si="78">J188</f>
        <v>880.9</v>
      </c>
      <c r="K187" s="218">
        <f t="shared" si="78"/>
        <v>45</v>
      </c>
      <c r="L187" s="216" t="s">
        <v>422</v>
      </c>
      <c r="M187" s="216" t="s">
        <v>422</v>
      </c>
      <c r="N187" s="219" t="s">
        <v>422</v>
      </c>
      <c r="O187" s="221">
        <v>8075852.6499999994</v>
      </c>
      <c r="P187" s="221">
        <f t="shared" ref="P187:S187" si="79">P188</f>
        <v>0</v>
      </c>
      <c r="Q187" s="221">
        <f t="shared" si="79"/>
        <v>0</v>
      </c>
      <c r="R187" s="221">
        <f t="shared" si="79"/>
        <v>0</v>
      </c>
      <c r="S187" s="221">
        <f t="shared" si="79"/>
        <v>8075852.6499999994</v>
      </c>
      <c r="T187" s="221">
        <f t="shared" si="77"/>
        <v>8397.4759800353531</v>
      </c>
      <c r="U187" s="221">
        <f>U188</f>
        <v>12910.49</v>
      </c>
      <c r="V187" s="27">
        <f t="shared" si="54"/>
        <v>0</v>
      </c>
      <c r="CR187" s="1"/>
    </row>
    <row r="188" spans="1:96" ht="35.25" x14ac:dyDescent="0.5">
      <c r="A188">
        <v>1</v>
      </c>
      <c r="B188" s="223">
        <f>SUBTOTAL(9,$A$16:A188)</f>
        <v>150</v>
      </c>
      <c r="C188" s="225" t="s">
        <v>256</v>
      </c>
      <c r="D188" s="216"/>
      <c r="E188" s="216">
        <v>1982</v>
      </c>
      <c r="F188" s="216" t="s">
        <v>419</v>
      </c>
      <c r="G188" s="216">
        <v>2</v>
      </c>
      <c r="H188" s="216" t="s">
        <v>326</v>
      </c>
      <c r="I188" s="217">
        <v>961.7</v>
      </c>
      <c r="J188" s="217">
        <v>880.9</v>
      </c>
      <c r="K188" s="218">
        <v>45</v>
      </c>
      <c r="L188" s="216" t="s">
        <v>417</v>
      </c>
      <c r="M188" s="216" t="s">
        <v>424</v>
      </c>
      <c r="N188" s="219" t="s">
        <v>425</v>
      </c>
      <c r="O188" s="221">
        <v>8075852.6499999994</v>
      </c>
      <c r="P188" s="221">
        <v>0</v>
      </c>
      <c r="Q188" s="221">
        <v>0</v>
      </c>
      <c r="R188" s="221">
        <v>0</v>
      </c>
      <c r="S188" s="221">
        <f>O188-P188-Q188-R188</f>
        <v>8075852.6499999994</v>
      </c>
      <c r="T188" s="221">
        <f t="shared" si="77"/>
        <v>8397.4759800353531</v>
      </c>
      <c r="U188" s="221">
        <v>12910.49</v>
      </c>
      <c r="V188" s="27">
        <f t="shared" si="54"/>
        <v>0</v>
      </c>
      <c r="CR188" s="1"/>
    </row>
    <row r="189" spans="1:96" ht="35.25" x14ac:dyDescent="0.5">
      <c r="B189" s="215" t="s">
        <v>264</v>
      </c>
      <c r="C189" s="215"/>
      <c r="D189" s="216" t="s">
        <v>422</v>
      </c>
      <c r="E189" s="216" t="s">
        <v>422</v>
      </c>
      <c r="F189" s="216" t="s">
        <v>422</v>
      </c>
      <c r="G189" s="216" t="s">
        <v>422</v>
      </c>
      <c r="H189" s="216" t="s">
        <v>422</v>
      </c>
      <c r="I189" s="217">
        <f>I190+I191+I192</f>
        <v>1035.0999999999999</v>
      </c>
      <c r="J189" s="217">
        <f t="shared" ref="J189:K189" si="80">J190+J191+J192</f>
        <v>950.90000000000009</v>
      </c>
      <c r="K189" s="218">
        <f t="shared" si="80"/>
        <v>46</v>
      </c>
      <c r="L189" s="216" t="s">
        <v>422</v>
      </c>
      <c r="M189" s="216" t="s">
        <v>422</v>
      </c>
      <c r="N189" s="219" t="s">
        <v>422</v>
      </c>
      <c r="O189" s="221">
        <v>8962475.1999999993</v>
      </c>
      <c r="P189" s="221">
        <f>P190+P191+P192</f>
        <v>0</v>
      </c>
      <c r="Q189" s="221">
        <f t="shared" ref="Q189:S189" si="81">Q190+Q191+Q192</f>
        <v>0</v>
      </c>
      <c r="R189" s="221">
        <f t="shared" si="81"/>
        <v>2600226.16</v>
      </c>
      <c r="S189" s="221">
        <f t="shared" si="81"/>
        <v>6362249.04</v>
      </c>
      <c r="T189" s="221">
        <f t="shared" si="77"/>
        <v>8658.5597526808997</v>
      </c>
      <c r="U189" s="221">
        <f>U190</f>
        <v>7989.54</v>
      </c>
      <c r="V189" s="27">
        <f t="shared" si="54"/>
        <v>0</v>
      </c>
      <c r="CR189" s="1"/>
    </row>
    <row r="190" spans="1:96" ht="35.25" x14ac:dyDescent="0.5">
      <c r="A190">
        <v>1</v>
      </c>
      <c r="B190" s="223">
        <f>SUBTOTAL(9,$A$16:A190)</f>
        <v>151</v>
      </c>
      <c r="C190" s="225" t="s">
        <v>412</v>
      </c>
      <c r="D190" s="216" t="s">
        <v>421</v>
      </c>
      <c r="E190" s="216">
        <v>1917</v>
      </c>
      <c r="F190" s="216" t="s">
        <v>419</v>
      </c>
      <c r="G190" s="216">
        <v>2</v>
      </c>
      <c r="H190" s="216">
        <v>1</v>
      </c>
      <c r="I190" s="217">
        <v>293</v>
      </c>
      <c r="J190" s="217">
        <v>251.3</v>
      </c>
      <c r="K190" s="218">
        <v>11</v>
      </c>
      <c r="L190" s="216" t="s">
        <v>417</v>
      </c>
      <c r="M190" s="216" t="s">
        <v>424</v>
      </c>
      <c r="N190" s="219" t="s">
        <v>425</v>
      </c>
      <c r="O190" s="221">
        <v>2281545</v>
      </c>
      <c r="P190" s="221">
        <v>0</v>
      </c>
      <c r="Q190" s="221">
        <v>0</v>
      </c>
      <c r="R190" s="221">
        <v>0</v>
      </c>
      <c r="S190" s="221">
        <f>O190-P190-Q190-R190</f>
        <v>2281545</v>
      </c>
      <c r="T190" s="221">
        <f t="shared" si="77"/>
        <v>7786.8430034129697</v>
      </c>
      <c r="U190" s="221">
        <v>7989.54</v>
      </c>
      <c r="V190" s="27">
        <f t="shared" si="54"/>
        <v>0</v>
      </c>
      <c r="CR190" s="1"/>
    </row>
    <row r="191" spans="1:96" ht="35.25" x14ac:dyDescent="0.5">
      <c r="A191">
        <v>1</v>
      </c>
      <c r="B191" s="223">
        <f>SUBTOTAL(9,$A$16:A191)</f>
        <v>152</v>
      </c>
      <c r="C191" s="226" t="s">
        <v>659</v>
      </c>
      <c r="D191" s="227" t="s">
        <v>421</v>
      </c>
      <c r="E191" s="216">
        <v>1917</v>
      </c>
      <c r="F191" s="216" t="s">
        <v>419</v>
      </c>
      <c r="G191" s="216">
        <v>2</v>
      </c>
      <c r="H191" s="216">
        <v>1</v>
      </c>
      <c r="I191" s="217">
        <v>282.3</v>
      </c>
      <c r="J191" s="217">
        <v>246</v>
      </c>
      <c r="K191" s="218">
        <v>12</v>
      </c>
      <c r="L191" s="216" t="s">
        <v>417</v>
      </c>
      <c r="M191" s="216" t="s">
        <v>424</v>
      </c>
      <c r="N191" s="219" t="s">
        <v>425</v>
      </c>
      <c r="O191" s="228">
        <v>2600226.16</v>
      </c>
      <c r="P191" s="228">
        <v>0</v>
      </c>
      <c r="Q191" s="228">
        <v>0</v>
      </c>
      <c r="R191" s="228">
        <f>O191</f>
        <v>2600226.16</v>
      </c>
      <c r="S191" s="228">
        <f t="shared" ref="S191:S192" si="82">O191-Q191-R191</f>
        <v>0</v>
      </c>
      <c r="T191" s="235">
        <f>O191/I191</f>
        <v>9210.8613531703868</v>
      </c>
      <c r="U191" s="228">
        <v>11361.92277718739</v>
      </c>
      <c r="V191" s="27">
        <f t="shared" si="54"/>
        <v>0</v>
      </c>
      <c r="W191" s="33">
        <v>0</v>
      </c>
      <c r="X191" s="33">
        <v>0</v>
      </c>
      <c r="Y191" s="33">
        <v>0</v>
      </c>
      <c r="Z191" s="33">
        <v>0</v>
      </c>
      <c r="AA191" s="34"/>
      <c r="AB191" s="1">
        <f>O191-P191-Q191-R191-S191</f>
        <v>0</v>
      </c>
      <c r="AD191" s="35">
        <v>0</v>
      </c>
      <c r="AE191">
        <f>AD191*8294.83/I191</f>
        <v>0</v>
      </c>
      <c r="AH191" t="e">
        <f>VLOOKUP(C191,AI:AJ,2,FALSE)</f>
        <v>#N/A</v>
      </c>
      <c r="BU191" s="1">
        <f t="shared" ref="BU191:BU192" si="83">U191-T191</f>
        <v>2151.0614240170034</v>
      </c>
      <c r="BW191" t="e">
        <f>VLOOKUP(C191,BX:BY,2,FALSE)</f>
        <v>#N/A</v>
      </c>
      <c r="CN191" s="1"/>
      <c r="CR191" s="1"/>
    </row>
    <row r="192" spans="1:96" ht="35.25" x14ac:dyDescent="0.5">
      <c r="A192">
        <v>1</v>
      </c>
      <c r="B192" s="223">
        <f>SUBTOTAL(9,$A$16:A192)</f>
        <v>153</v>
      </c>
      <c r="C192" s="226" t="s">
        <v>660</v>
      </c>
      <c r="D192" s="227" t="s">
        <v>421</v>
      </c>
      <c r="E192" s="216">
        <v>1917</v>
      </c>
      <c r="F192" s="216" t="s">
        <v>419</v>
      </c>
      <c r="G192" s="216">
        <v>2</v>
      </c>
      <c r="H192" s="216" t="s">
        <v>317</v>
      </c>
      <c r="I192" s="217">
        <v>459.8</v>
      </c>
      <c r="J192" s="217">
        <v>453.6</v>
      </c>
      <c r="K192" s="218">
        <v>23</v>
      </c>
      <c r="L192" s="216" t="s">
        <v>417</v>
      </c>
      <c r="M192" s="216" t="s">
        <v>424</v>
      </c>
      <c r="N192" s="219" t="s">
        <v>425</v>
      </c>
      <c r="O192" s="228">
        <v>4080704.04</v>
      </c>
      <c r="P192" s="228">
        <v>0</v>
      </c>
      <c r="Q192" s="228">
        <v>0</v>
      </c>
      <c r="R192" s="228">
        <v>0</v>
      </c>
      <c r="S192" s="228">
        <f t="shared" si="82"/>
        <v>4080704.04</v>
      </c>
      <c r="T192" s="235">
        <f t="shared" ref="T192" si="84">O192/I192</f>
        <v>8874.9544149630274</v>
      </c>
      <c r="U192" s="228">
        <v>10978.439549804261</v>
      </c>
      <c r="V192" s="27">
        <f t="shared" si="54"/>
        <v>0</v>
      </c>
      <c r="W192" s="33">
        <v>0</v>
      </c>
      <c r="X192" s="33">
        <v>0</v>
      </c>
      <c r="Y192" s="33">
        <v>0</v>
      </c>
      <c r="Z192" s="33">
        <v>0</v>
      </c>
      <c r="AA192" s="34"/>
      <c r="AB192" s="1">
        <f>O192-P192-Q192-R192-S192</f>
        <v>0</v>
      </c>
      <c r="AD192" s="35">
        <v>0</v>
      </c>
      <c r="AE192">
        <f>AD192*8294.83/I192</f>
        <v>0</v>
      </c>
      <c r="AH192" t="e">
        <f>VLOOKUP(C192,AI:AJ,2,FALSE)</f>
        <v>#N/A</v>
      </c>
      <c r="BU192" s="1">
        <f t="shared" si="83"/>
        <v>2103.485134841234</v>
      </c>
      <c r="BW192" t="e">
        <f>VLOOKUP(C192,BX:BY,2,FALSE)</f>
        <v>#N/A</v>
      </c>
      <c r="CN192" s="1"/>
      <c r="CR192" s="1"/>
    </row>
    <row r="193" spans="1:96" ht="35.25" x14ac:dyDescent="0.5">
      <c r="B193" s="215" t="s">
        <v>693</v>
      </c>
      <c r="C193" s="215"/>
      <c r="D193" s="216" t="s">
        <v>422</v>
      </c>
      <c r="E193" s="216" t="s">
        <v>422</v>
      </c>
      <c r="F193" s="216" t="s">
        <v>422</v>
      </c>
      <c r="G193" s="216" t="s">
        <v>422</v>
      </c>
      <c r="H193" s="216" t="s">
        <v>422</v>
      </c>
      <c r="I193" s="217">
        <f>SUM(I194:I195)</f>
        <v>4343.1000000000004</v>
      </c>
      <c r="J193" s="217">
        <f t="shared" ref="J193:K193" si="85">SUM(J194:J195)</f>
        <v>4014.7</v>
      </c>
      <c r="K193" s="218">
        <f t="shared" si="85"/>
        <v>175</v>
      </c>
      <c r="L193" s="216" t="s">
        <v>422</v>
      </c>
      <c r="M193" s="216" t="s">
        <v>422</v>
      </c>
      <c r="N193" s="219" t="s">
        <v>422</v>
      </c>
      <c r="O193" s="221">
        <v>22647005.84</v>
      </c>
      <c r="P193" s="221">
        <f t="shared" ref="P193:S193" si="86">SUM(P194:P195)</f>
        <v>0</v>
      </c>
      <c r="Q193" s="221">
        <f t="shared" si="86"/>
        <v>0</v>
      </c>
      <c r="R193" s="221">
        <f t="shared" si="86"/>
        <v>0</v>
      </c>
      <c r="S193" s="221">
        <f t="shared" si="86"/>
        <v>22647005.84</v>
      </c>
      <c r="T193" s="221">
        <f t="shared" si="77"/>
        <v>5214.4794823973652</v>
      </c>
      <c r="U193" s="221">
        <f>MAX(U194:U195)</f>
        <v>10266.39</v>
      </c>
      <c r="V193" s="27">
        <f t="shared" si="54"/>
        <v>0</v>
      </c>
      <c r="CR193" s="1"/>
    </row>
    <row r="194" spans="1:96" ht="35.25" x14ac:dyDescent="0.5">
      <c r="A194">
        <v>1</v>
      </c>
      <c r="B194" s="223">
        <f>SUBTOTAL(9,$A$16:A194)</f>
        <v>154</v>
      </c>
      <c r="C194" s="225" t="s">
        <v>268</v>
      </c>
      <c r="D194" s="216"/>
      <c r="E194" s="216">
        <v>1968</v>
      </c>
      <c r="F194" s="216" t="s">
        <v>419</v>
      </c>
      <c r="G194" s="216">
        <v>5</v>
      </c>
      <c r="H194" s="216" t="s">
        <v>321</v>
      </c>
      <c r="I194" s="217">
        <v>3557</v>
      </c>
      <c r="J194" s="217">
        <v>3288.4</v>
      </c>
      <c r="K194" s="218">
        <v>135</v>
      </c>
      <c r="L194" s="216" t="s">
        <v>417</v>
      </c>
      <c r="M194" s="216" t="s">
        <v>423</v>
      </c>
      <c r="N194" s="219" t="s">
        <v>464</v>
      </c>
      <c r="O194" s="221">
        <v>14725631.6</v>
      </c>
      <c r="P194" s="221">
        <v>0</v>
      </c>
      <c r="Q194" s="221">
        <v>0</v>
      </c>
      <c r="R194" s="221">
        <v>0</v>
      </c>
      <c r="S194" s="221">
        <f>O194-P194-Q194-R194</f>
        <v>14725631.6</v>
      </c>
      <c r="T194" s="221">
        <f t="shared" si="77"/>
        <v>4139.902052291257</v>
      </c>
      <c r="U194" s="221">
        <v>4217.79</v>
      </c>
      <c r="V194" s="27">
        <f t="shared" si="54"/>
        <v>0</v>
      </c>
      <c r="CR194" s="1"/>
    </row>
    <row r="195" spans="1:96" ht="35.25" x14ac:dyDescent="0.5">
      <c r="A195">
        <v>1</v>
      </c>
      <c r="B195" s="223">
        <f>SUBTOTAL(9,$A$16:A195)</f>
        <v>155</v>
      </c>
      <c r="C195" s="225" t="s">
        <v>269</v>
      </c>
      <c r="D195" s="216"/>
      <c r="E195" s="216">
        <v>1967</v>
      </c>
      <c r="F195" s="216" t="s">
        <v>419</v>
      </c>
      <c r="G195" s="216">
        <v>2</v>
      </c>
      <c r="H195" s="216" t="s">
        <v>319</v>
      </c>
      <c r="I195" s="217">
        <v>786.1</v>
      </c>
      <c r="J195" s="217">
        <v>726.3</v>
      </c>
      <c r="K195" s="218">
        <v>40</v>
      </c>
      <c r="L195" s="216" t="s">
        <v>417</v>
      </c>
      <c r="M195" s="216" t="s">
        <v>424</v>
      </c>
      <c r="N195" s="219" t="s">
        <v>425</v>
      </c>
      <c r="O195" s="221">
        <v>7921374.2399999993</v>
      </c>
      <c r="P195" s="221">
        <v>0</v>
      </c>
      <c r="Q195" s="221">
        <v>0</v>
      </c>
      <c r="R195" s="221">
        <v>0</v>
      </c>
      <c r="S195" s="221">
        <f>O195-P195-Q195-R195</f>
        <v>7921374.2399999993</v>
      </c>
      <c r="T195" s="221">
        <f t="shared" si="77"/>
        <v>10076.802238900902</v>
      </c>
      <c r="U195" s="221">
        <v>10266.39</v>
      </c>
      <c r="V195" s="27">
        <f t="shared" si="54"/>
        <v>0</v>
      </c>
      <c r="CR195" s="1"/>
    </row>
    <row r="196" spans="1:96" ht="35.25" x14ac:dyDescent="0.5">
      <c r="A196">
        <v>1</v>
      </c>
      <c r="B196" s="215" t="s">
        <v>516</v>
      </c>
      <c r="C196" s="225"/>
      <c r="D196" s="216" t="s">
        <v>422</v>
      </c>
      <c r="E196" s="216" t="s">
        <v>422</v>
      </c>
      <c r="F196" s="216" t="s">
        <v>422</v>
      </c>
      <c r="G196" s="216" t="s">
        <v>422</v>
      </c>
      <c r="H196" s="216" t="s">
        <v>422</v>
      </c>
      <c r="I196" s="217">
        <f>I197+I237+I244+I263+I277+I280+I296+I301+I303+I305+I307+I309+I313+I318+I320+I327+I331+I334+I337+I340+I344+I346+I351+I357+I362+I360</f>
        <v>509201.8600000001</v>
      </c>
      <c r="J196" s="217">
        <f t="shared" ref="J196:K196" si="87">J197+J237+J244+J263+J277+J280+J296+J301+J303+J305+J307+J309+J313+J318+J320+J327+J331+J334+J337+J340+J344+J346+J351+J357+J362+J360</f>
        <v>424239.24000000005</v>
      </c>
      <c r="K196" s="218">
        <f t="shared" si="87"/>
        <v>18939</v>
      </c>
      <c r="L196" s="216" t="s">
        <v>422</v>
      </c>
      <c r="M196" s="216" t="s">
        <v>422</v>
      </c>
      <c r="N196" s="219" t="s">
        <v>422</v>
      </c>
      <c r="O196" s="220">
        <f>O197+O237+O244+O263+O277+O280+O296+O301+O303+O305+O307+O309+O313+O318+O320+O327+O331+O334+O337+O340+O344+O346+O351+O357+O362+O360</f>
        <v>1645427321.2400002</v>
      </c>
      <c r="P196" s="220">
        <f t="shared" ref="P196:S196" si="88">P197+P237+P244+P263+P277+P280+P296+P301+P303+P305+P307+P309+P313+P318+P320+P327+P331+P334+P337+P340+P344+P346+P351+P357+P362+P360</f>
        <v>0</v>
      </c>
      <c r="Q196" s="220">
        <f t="shared" si="88"/>
        <v>0</v>
      </c>
      <c r="R196" s="220">
        <f t="shared" si="88"/>
        <v>0</v>
      </c>
      <c r="S196" s="220">
        <f t="shared" si="88"/>
        <v>1645427321.2400002</v>
      </c>
      <c r="T196" s="221">
        <f t="shared" si="2"/>
        <v>3231.3851352389011</v>
      </c>
      <c r="U196" s="221">
        <f>MAX(U197:U362)</f>
        <v>21208.75</v>
      </c>
      <c r="V196" s="27">
        <f t="shared" si="54"/>
        <v>0</v>
      </c>
    </row>
    <row r="197" spans="1:96" ht="35.25" x14ac:dyDescent="0.5">
      <c r="B197" s="215" t="s">
        <v>413</v>
      </c>
      <c r="C197" s="222"/>
      <c r="D197" s="216" t="s">
        <v>422</v>
      </c>
      <c r="E197" s="216" t="s">
        <v>422</v>
      </c>
      <c r="F197" s="216" t="s">
        <v>422</v>
      </c>
      <c r="G197" s="216" t="s">
        <v>422</v>
      </c>
      <c r="H197" s="216" t="s">
        <v>422</v>
      </c>
      <c r="I197" s="217">
        <f>SUM(I198:I236)</f>
        <v>150741.1</v>
      </c>
      <c r="J197" s="217">
        <f t="shared" ref="J197:K197" si="89">SUM(J198:J236)</f>
        <v>123549.38999999998</v>
      </c>
      <c r="K197" s="218">
        <f t="shared" si="89"/>
        <v>5930</v>
      </c>
      <c r="L197" s="216" t="s">
        <v>422</v>
      </c>
      <c r="M197" s="216" t="s">
        <v>422</v>
      </c>
      <c r="N197" s="219" t="s">
        <v>422</v>
      </c>
      <c r="O197" s="220">
        <f>SUM(O198:O236)</f>
        <v>362437177.59000009</v>
      </c>
      <c r="P197" s="220">
        <f t="shared" ref="P197:S197" si="90">SUM(P198:P236)</f>
        <v>0</v>
      </c>
      <c r="Q197" s="220">
        <f t="shared" si="90"/>
        <v>0</v>
      </c>
      <c r="R197" s="220">
        <f t="shared" si="90"/>
        <v>0</v>
      </c>
      <c r="S197" s="220">
        <f t="shared" si="90"/>
        <v>362437177.59000009</v>
      </c>
      <c r="T197" s="221">
        <f t="shared" si="2"/>
        <v>2404.368666475169</v>
      </c>
      <c r="U197" s="221">
        <f>MAX(U198:U236)</f>
        <v>17662.169999999998</v>
      </c>
      <c r="V197" s="27">
        <f t="shared" si="54"/>
        <v>0</v>
      </c>
    </row>
    <row r="198" spans="1:96" ht="35.25" x14ac:dyDescent="0.5">
      <c r="A198">
        <v>1</v>
      </c>
      <c r="B198" s="223">
        <f>SUBTOTAL(9,$A$198:A198)</f>
        <v>1</v>
      </c>
      <c r="C198" s="224" t="s">
        <v>58</v>
      </c>
      <c r="D198" s="216"/>
      <c r="E198" s="216">
        <v>1960</v>
      </c>
      <c r="F198" s="216" t="s">
        <v>419</v>
      </c>
      <c r="G198" s="216">
        <v>4</v>
      </c>
      <c r="H198" s="216">
        <v>2</v>
      </c>
      <c r="I198" s="217">
        <v>1341.8</v>
      </c>
      <c r="J198" s="217">
        <v>1245.5999999999999</v>
      </c>
      <c r="K198" s="218">
        <v>62</v>
      </c>
      <c r="L198" s="216" t="s">
        <v>417</v>
      </c>
      <c r="M198" s="216" t="s">
        <v>423</v>
      </c>
      <c r="N198" s="219" t="s">
        <v>559</v>
      </c>
      <c r="O198" s="221">
        <v>12959114.83</v>
      </c>
      <c r="P198" s="221">
        <v>0</v>
      </c>
      <c r="Q198" s="221">
        <v>0</v>
      </c>
      <c r="R198" s="221">
        <v>0</v>
      </c>
      <c r="S198" s="221">
        <f t="shared" si="3"/>
        <v>12959114.83</v>
      </c>
      <c r="T198" s="221">
        <f t="shared" si="2"/>
        <v>9658.0077731405581</v>
      </c>
      <c r="U198" s="221">
        <v>9658.48</v>
      </c>
      <c r="V198" s="27">
        <f t="shared" si="54"/>
        <v>0</v>
      </c>
    </row>
    <row r="199" spans="1:96" ht="35.25" x14ac:dyDescent="0.5">
      <c r="A199">
        <v>1</v>
      </c>
      <c r="B199" s="223">
        <f>SUBTOTAL(9,$A$198:A199)</f>
        <v>2</v>
      </c>
      <c r="C199" s="224" t="s">
        <v>59</v>
      </c>
      <c r="D199" s="216"/>
      <c r="E199" s="216">
        <v>1954</v>
      </c>
      <c r="F199" s="216" t="s">
        <v>419</v>
      </c>
      <c r="G199" s="216">
        <v>4</v>
      </c>
      <c r="H199" s="216">
        <v>7</v>
      </c>
      <c r="I199" s="217">
        <v>6216.1</v>
      </c>
      <c r="J199" s="217">
        <v>2785.9</v>
      </c>
      <c r="K199" s="218">
        <v>169</v>
      </c>
      <c r="L199" s="216" t="s">
        <v>417</v>
      </c>
      <c r="M199" s="216" t="s">
        <v>423</v>
      </c>
      <c r="N199" s="219" t="s">
        <v>440</v>
      </c>
      <c r="O199" s="221">
        <v>23706706.25</v>
      </c>
      <c r="P199" s="221">
        <v>0</v>
      </c>
      <c r="Q199" s="221">
        <v>0</v>
      </c>
      <c r="R199" s="221">
        <v>0</v>
      </c>
      <c r="S199" s="221">
        <f t="shared" si="3"/>
        <v>23706706.25</v>
      </c>
      <c r="T199" s="221">
        <f t="shared" si="2"/>
        <v>3813.7588278824342</v>
      </c>
      <c r="U199" s="221">
        <v>4910.2700000000004</v>
      </c>
      <c r="V199" s="27">
        <f t="shared" si="54"/>
        <v>0</v>
      </c>
    </row>
    <row r="200" spans="1:96" ht="35.25" x14ac:dyDescent="0.5">
      <c r="A200">
        <v>1</v>
      </c>
      <c r="B200" s="223">
        <f>SUBTOTAL(9,$A$198:A200)</f>
        <v>3</v>
      </c>
      <c r="C200" s="225" t="s">
        <v>60</v>
      </c>
      <c r="D200" s="216"/>
      <c r="E200" s="216">
        <v>1949</v>
      </c>
      <c r="F200" s="216" t="s">
        <v>419</v>
      </c>
      <c r="G200" s="216">
        <v>2</v>
      </c>
      <c r="H200" s="216">
        <v>2</v>
      </c>
      <c r="I200" s="217">
        <v>873.7</v>
      </c>
      <c r="J200" s="217">
        <v>803.1</v>
      </c>
      <c r="K200" s="218">
        <v>31</v>
      </c>
      <c r="L200" s="216" t="s">
        <v>417</v>
      </c>
      <c r="M200" s="216" t="s">
        <v>423</v>
      </c>
      <c r="N200" s="219" t="s">
        <v>585</v>
      </c>
      <c r="O200" s="221">
        <v>10179912.59</v>
      </c>
      <c r="P200" s="221">
        <v>0</v>
      </c>
      <c r="Q200" s="221">
        <v>0</v>
      </c>
      <c r="R200" s="221">
        <v>0</v>
      </c>
      <c r="S200" s="221">
        <f t="shared" si="3"/>
        <v>10179912.59</v>
      </c>
      <c r="T200" s="221">
        <f t="shared" si="2"/>
        <v>11651.496612109418</v>
      </c>
      <c r="U200" s="221">
        <v>11652.06</v>
      </c>
      <c r="V200" s="27">
        <f t="shared" si="54"/>
        <v>0</v>
      </c>
    </row>
    <row r="201" spans="1:96" ht="35.25" x14ac:dyDescent="0.5">
      <c r="A201">
        <v>1</v>
      </c>
      <c r="B201" s="223">
        <f>SUBTOTAL(9,$A$198:A201)</f>
        <v>4</v>
      </c>
      <c r="C201" s="225" t="s">
        <v>61</v>
      </c>
      <c r="D201" s="216"/>
      <c r="E201" s="216">
        <v>1961</v>
      </c>
      <c r="F201" s="216" t="s">
        <v>419</v>
      </c>
      <c r="G201" s="216">
        <v>3</v>
      </c>
      <c r="H201" s="216">
        <v>2</v>
      </c>
      <c r="I201" s="217">
        <v>1487.1</v>
      </c>
      <c r="J201" s="217">
        <v>1117.1300000000001</v>
      </c>
      <c r="K201" s="218">
        <v>94</v>
      </c>
      <c r="L201" s="216" t="s">
        <v>417</v>
      </c>
      <c r="M201" s="216" t="s">
        <v>423</v>
      </c>
      <c r="N201" s="219" t="s">
        <v>585</v>
      </c>
      <c r="O201" s="221">
        <v>9926626.3000000007</v>
      </c>
      <c r="P201" s="221">
        <v>0</v>
      </c>
      <c r="Q201" s="221">
        <v>0</v>
      </c>
      <c r="R201" s="221">
        <v>0</v>
      </c>
      <c r="S201" s="221">
        <f t="shared" si="3"/>
        <v>9926626.3000000007</v>
      </c>
      <c r="T201" s="221">
        <f t="shared" si="2"/>
        <v>6675.1572187478996</v>
      </c>
      <c r="U201" s="221">
        <v>6801.08</v>
      </c>
      <c r="V201" s="27">
        <f t="shared" si="54"/>
        <v>0</v>
      </c>
    </row>
    <row r="202" spans="1:96" ht="35.25" x14ac:dyDescent="0.5">
      <c r="A202">
        <v>1</v>
      </c>
      <c r="B202" s="223">
        <f>SUBTOTAL(9,$A$198:A202)</f>
        <v>5</v>
      </c>
      <c r="C202" s="225" t="s">
        <v>62</v>
      </c>
      <c r="D202" s="216"/>
      <c r="E202" s="216">
        <v>1993</v>
      </c>
      <c r="F202" s="216" t="s">
        <v>419</v>
      </c>
      <c r="G202" s="216">
        <v>6</v>
      </c>
      <c r="H202" s="216">
        <v>1</v>
      </c>
      <c r="I202" s="217">
        <v>3664.3</v>
      </c>
      <c r="J202" s="217">
        <v>2532.1999999999998</v>
      </c>
      <c r="K202" s="218">
        <v>150</v>
      </c>
      <c r="L202" s="216" t="s">
        <v>417</v>
      </c>
      <c r="M202" s="216" t="s">
        <v>423</v>
      </c>
      <c r="N202" s="219" t="s">
        <v>585</v>
      </c>
      <c r="O202" s="221">
        <v>21612581</v>
      </c>
      <c r="P202" s="221">
        <v>0</v>
      </c>
      <c r="Q202" s="221">
        <v>0</v>
      </c>
      <c r="R202" s="221">
        <v>0</v>
      </c>
      <c r="S202" s="221">
        <f t="shared" si="3"/>
        <v>21612581</v>
      </c>
      <c r="T202" s="221">
        <f t="shared" si="2"/>
        <v>5898.1472586851514</v>
      </c>
      <c r="U202" s="221">
        <v>6388.9</v>
      </c>
      <c r="V202" s="27">
        <f t="shared" si="54"/>
        <v>0</v>
      </c>
    </row>
    <row r="203" spans="1:96" ht="35.25" x14ac:dyDescent="0.5">
      <c r="A203">
        <v>1</v>
      </c>
      <c r="B203" s="223">
        <f>SUBTOTAL(9,$A$198:A203)</f>
        <v>6</v>
      </c>
      <c r="C203" s="225" t="s">
        <v>63</v>
      </c>
      <c r="D203" s="216"/>
      <c r="E203" s="216">
        <v>1986</v>
      </c>
      <c r="F203" s="216" t="s">
        <v>420</v>
      </c>
      <c r="G203" s="216">
        <v>9</v>
      </c>
      <c r="H203" s="216">
        <v>3</v>
      </c>
      <c r="I203" s="217">
        <v>6162.7</v>
      </c>
      <c r="J203" s="217">
        <v>5794.4</v>
      </c>
      <c r="K203" s="218">
        <v>286</v>
      </c>
      <c r="L203" s="216" t="s">
        <v>417</v>
      </c>
      <c r="M203" s="216" t="s">
        <v>423</v>
      </c>
      <c r="N203" s="219" t="s">
        <v>553</v>
      </c>
      <c r="O203" s="221">
        <v>11962768.629999999</v>
      </c>
      <c r="P203" s="221">
        <v>0</v>
      </c>
      <c r="Q203" s="221">
        <v>0</v>
      </c>
      <c r="R203" s="221">
        <v>0</v>
      </c>
      <c r="S203" s="221">
        <f t="shared" si="3"/>
        <v>11962768.629999999</v>
      </c>
      <c r="T203" s="221">
        <f t="shared" si="2"/>
        <v>1941.1570626511107</v>
      </c>
      <c r="U203" s="221">
        <v>1941.25</v>
      </c>
      <c r="V203" s="27">
        <f t="shared" si="54"/>
        <v>0</v>
      </c>
    </row>
    <row r="204" spans="1:96" ht="35.25" x14ac:dyDescent="0.5">
      <c r="A204">
        <v>1</v>
      </c>
      <c r="B204" s="223">
        <f>SUBTOTAL(9,$A$198:A204)</f>
        <v>7</v>
      </c>
      <c r="C204" s="225" t="s">
        <v>64</v>
      </c>
      <c r="D204" s="216"/>
      <c r="E204" s="216">
        <v>1957</v>
      </c>
      <c r="F204" s="216" t="s">
        <v>419</v>
      </c>
      <c r="G204" s="216">
        <v>4</v>
      </c>
      <c r="H204" s="216">
        <v>4</v>
      </c>
      <c r="I204" s="217">
        <v>2945.3</v>
      </c>
      <c r="J204" s="217">
        <v>2313.9</v>
      </c>
      <c r="K204" s="218">
        <v>109</v>
      </c>
      <c r="L204" s="216" t="s">
        <v>417</v>
      </c>
      <c r="M204" s="216" t="s">
        <v>423</v>
      </c>
      <c r="N204" s="219" t="s">
        <v>549</v>
      </c>
      <c r="O204" s="221">
        <v>20856102.009999998</v>
      </c>
      <c r="P204" s="221">
        <v>0</v>
      </c>
      <c r="Q204" s="221">
        <v>0</v>
      </c>
      <c r="R204" s="221">
        <v>0</v>
      </c>
      <c r="S204" s="221">
        <f t="shared" si="3"/>
        <v>20856102.009999998</v>
      </c>
      <c r="T204" s="221">
        <f t="shared" si="2"/>
        <v>7081.1469154245733</v>
      </c>
      <c r="U204" s="221">
        <v>8362.64</v>
      </c>
      <c r="V204" s="27">
        <f t="shared" si="54"/>
        <v>0</v>
      </c>
    </row>
    <row r="205" spans="1:96" ht="35.25" x14ac:dyDescent="0.5">
      <c r="A205">
        <v>1</v>
      </c>
      <c r="B205" s="223">
        <f>SUBTOTAL(9,$A$198:A205)</f>
        <v>8</v>
      </c>
      <c r="C205" s="225" t="s">
        <v>65</v>
      </c>
      <c r="D205" s="216"/>
      <c r="E205" s="216">
        <v>1976</v>
      </c>
      <c r="F205" s="216" t="s">
        <v>419</v>
      </c>
      <c r="G205" s="216">
        <v>5</v>
      </c>
      <c r="H205" s="216">
        <v>1</v>
      </c>
      <c r="I205" s="217">
        <v>1393.7</v>
      </c>
      <c r="J205" s="217">
        <v>1019.2</v>
      </c>
      <c r="K205" s="218">
        <v>255</v>
      </c>
      <c r="L205" s="216" t="s">
        <v>417</v>
      </c>
      <c r="M205" s="216" t="s">
        <v>423</v>
      </c>
      <c r="N205" s="219" t="s">
        <v>585</v>
      </c>
      <c r="O205" s="221">
        <v>1748115.43</v>
      </c>
      <c r="P205" s="221">
        <v>0</v>
      </c>
      <c r="Q205" s="221">
        <v>0</v>
      </c>
      <c r="R205" s="221">
        <v>0</v>
      </c>
      <c r="S205" s="221">
        <f t="shared" si="3"/>
        <v>1748115.43</v>
      </c>
      <c r="T205" s="221">
        <f t="shared" si="2"/>
        <v>1254.2982205639664</v>
      </c>
      <c r="U205" s="221">
        <v>1254.2982205639664</v>
      </c>
      <c r="V205" s="27">
        <f t="shared" si="54"/>
        <v>0</v>
      </c>
    </row>
    <row r="206" spans="1:96" ht="35.25" x14ac:dyDescent="0.5">
      <c r="A206">
        <v>1</v>
      </c>
      <c r="B206" s="223">
        <f>SUBTOTAL(9,$A$198:A206)</f>
        <v>9</v>
      </c>
      <c r="C206" s="225" t="s">
        <v>66</v>
      </c>
      <c r="D206" s="216"/>
      <c r="E206" s="216">
        <v>1988</v>
      </c>
      <c r="F206" s="216" t="s">
        <v>420</v>
      </c>
      <c r="G206" s="216">
        <v>10</v>
      </c>
      <c r="H206" s="216">
        <v>2</v>
      </c>
      <c r="I206" s="217">
        <v>4337</v>
      </c>
      <c r="J206" s="217">
        <v>4280.8999999999996</v>
      </c>
      <c r="K206" s="218">
        <v>208</v>
      </c>
      <c r="L206" s="216" t="s">
        <v>417</v>
      </c>
      <c r="M206" s="216" t="s">
        <v>423</v>
      </c>
      <c r="N206" s="219" t="s">
        <v>553</v>
      </c>
      <c r="O206" s="221">
        <v>9440888.9700000007</v>
      </c>
      <c r="P206" s="221">
        <v>0</v>
      </c>
      <c r="Q206" s="221">
        <v>0</v>
      </c>
      <c r="R206" s="221">
        <v>0</v>
      </c>
      <c r="S206" s="221">
        <f t="shared" si="3"/>
        <v>9440888.9700000007</v>
      </c>
      <c r="T206" s="221">
        <f t="shared" si="2"/>
        <v>2176.8247567442936</v>
      </c>
      <c r="U206" s="221">
        <v>2176.9299999999998</v>
      </c>
      <c r="V206" s="27">
        <f t="shared" ref="V206:V269" si="91">O206-P206-Q206-R206-S206</f>
        <v>0</v>
      </c>
    </row>
    <row r="207" spans="1:96" ht="35.25" x14ac:dyDescent="0.5">
      <c r="A207">
        <v>1</v>
      </c>
      <c r="B207" s="223">
        <f>SUBTOTAL(9,$A$198:A207)</f>
        <v>10</v>
      </c>
      <c r="C207" s="225" t="s">
        <v>67</v>
      </c>
      <c r="D207" s="216"/>
      <c r="E207" s="216">
        <v>1967</v>
      </c>
      <c r="F207" s="216" t="s">
        <v>419</v>
      </c>
      <c r="G207" s="216">
        <v>5</v>
      </c>
      <c r="H207" s="216">
        <v>2</v>
      </c>
      <c r="I207" s="217">
        <v>2274.1999999999998</v>
      </c>
      <c r="J207" s="217">
        <v>1779.6</v>
      </c>
      <c r="K207" s="218">
        <v>98</v>
      </c>
      <c r="L207" s="216" t="s">
        <v>417</v>
      </c>
      <c r="M207" s="216" t="s">
        <v>423</v>
      </c>
      <c r="N207" s="219" t="s">
        <v>557</v>
      </c>
      <c r="O207" s="221">
        <v>7298992.54</v>
      </c>
      <c r="P207" s="221">
        <v>0</v>
      </c>
      <c r="Q207" s="221">
        <v>0</v>
      </c>
      <c r="R207" s="221">
        <v>0</v>
      </c>
      <c r="S207" s="221">
        <f t="shared" si="3"/>
        <v>7298992.54</v>
      </c>
      <c r="T207" s="221">
        <f t="shared" si="2"/>
        <v>3209.4769765192159</v>
      </c>
      <c r="U207" s="221">
        <v>3270.02</v>
      </c>
      <c r="V207" s="27">
        <f t="shared" si="91"/>
        <v>0</v>
      </c>
    </row>
    <row r="208" spans="1:96" ht="35.25" x14ac:dyDescent="0.5">
      <c r="A208">
        <v>1</v>
      </c>
      <c r="B208" s="223">
        <f>SUBTOTAL(9,$A$198:A208)</f>
        <v>11</v>
      </c>
      <c r="C208" s="225" t="s">
        <v>68</v>
      </c>
      <c r="D208" s="216"/>
      <c r="E208" s="216">
        <v>1980</v>
      </c>
      <c r="F208" s="216" t="s">
        <v>419</v>
      </c>
      <c r="G208" s="216">
        <v>4</v>
      </c>
      <c r="H208" s="216">
        <v>1</v>
      </c>
      <c r="I208" s="217">
        <v>878.7</v>
      </c>
      <c r="J208" s="217">
        <v>776.6</v>
      </c>
      <c r="K208" s="218">
        <v>56</v>
      </c>
      <c r="L208" s="216" t="s">
        <v>417</v>
      </c>
      <c r="M208" s="216" t="s">
        <v>423</v>
      </c>
      <c r="N208" s="219" t="s">
        <v>562</v>
      </c>
      <c r="O208" s="221">
        <v>4747522.0799999991</v>
      </c>
      <c r="P208" s="221">
        <v>0</v>
      </c>
      <c r="Q208" s="221">
        <v>0</v>
      </c>
      <c r="R208" s="221">
        <v>0</v>
      </c>
      <c r="S208" s="221">
        <f t="shared" si="3"/>
        <v>4747522.0799999991</v>
      </c>
      <c r="T208" s="221">
        <f t="shared" si="2"/>
        <v>5402.8930010242393</v>
      </c>
      <c r="U208" s="221">
        <v>5504.81</v>
      </c>
      <c r="V208" s="27">
        <f t="shared" si="91"/>
        <v>0</v>
      </c>
    </row>
    <row r="209" spans="1:22" ht="35.25" x14ac:dyDescent="0.5">
      <c r="A209">
        <v>1</v>
      </c>
      <c r="B209" s="223">
        <f>SUBTOTAL(9,$A$198:A209)</f>
        <v>12</v>
      </c>
      <c r="C209" s="225" t="s">
        <v>69</v>
      </c>
      <c r="D209" s="216"/>
      <c r="E209" s="216">
        <v>1986</v>
      </c>
      <c r="F209" s="216" t="s">
        <v>419</v>
      </c>
      <c r="G209" s="216">
        <v>5</v>
      </c>
      <c r="H209" s="216">
        <v>3</v>
      </c>
      <c r="I209" s="217">
        <v>2974.4</v>
      </c>
      <c r="J209" s="217">
        <v>2685.9</v>
      </c>
      <c r="K209" s="218">
        <v>84</v>
      </c>
      <c r="L209" s="216" t="s">
        <v>417</v>
      </c>
      <c r="M209" s="216" t="s">
        <v>423</v>
      </c>
      <c r="N209" s="219" t="s">
        <v>551</v>
      </c>
      <c r="O209" s="221">
        <v>13150365.290000001</v>
      </c>
      <c r="P209" s="221">
        <v>0</v>
      </c>
      <c r="Q209" s="221">
        <v>0</v>
      </c>
      <c r="R209" s="221">
        <v>0</v>
      </c>
      <c r="S209" s="221">
        <f t="shared" si="3"/>
        <v>13150365.290000001</v>
      </c>
      <c r="T209" s="221">
        <f t="shared" si="2"/>
        <v>4421.1825208445407</v>
      </c>
      <c r="U209" s="221">
        <v>4504.58</v>
      </c>
      <c r="V209" s="27">
        <f t="shared" si="91"/>
        <v>0</v>
      </c>
    </row>
    <row r="210" spans="1:22" ht="35.25" x14ac:dyDescent="0.5">
      <c r="A210">
        <v>1</v>
      </c>
      <c r="B210" s="223">
        <f>SUBTOTAL(9,$A$198:A210)</f>
        <v>13</v>
      </c>
      <c r="C210" s="225" t="s">
        <v>70</v>
      </c>
      <c r="D210" s="216"/>
      <c r="E210" s="216">
        <v>1972</v>
      </c>
      <c r="F210" s="216" t="s">
        <v>419</v>
      </c>
      <c r="G210" s="216">
        <v>2</v>
      </c>
      <c r="H210" s="216">
        <v>2</v>
      </c>
      <c r="I210" s="217">
        <v>551</v>
      </c>
      <c r="J210" s="217">
        <v>502.5</v>
      </c>
      <c r="K210" s="218">
        <v>42</v>
      </c>
      <c r="L210" s="216" t="s">
        <v>417</v>
      </c>
      <c r="M210" s="216" t="s">
        <v>423</v>
      </c>
      <c r="N210" s="219" t="s">
        <v>562</v>
      </c>
      <c r="O210" s="221">
        <v>6981645.46</v>
      </c>
      <c r="P210" s="221">
        <v>0</v>
      </c>
      <c r="Q210" s="221">
        <v>0</v>
      </c>
      <c r="R210" s="221">
        <v>0</v>
      </c>
      <c r="S210" s="221">
        <f t="shared" si="3"/>
        <v>6981645.46</v>
      </c>
      <c r="T210" s="221">
        <f t="shared" si="2"/>
        <v>12670.862903811252</v>
      </c>
      <c r="U210" s="221">
        <v>12909.88</v>
      </c>
      <c r="V210" s="27">
        <f t="shared" si="91"/>
        <v>0</v>
      </c>
    </row>
    <row r="211" spans="1:22" ht="35.25" x14ac:dyDescent="0.5">
      <c r="A211">
        <v>1</v>
      </c>
      <c r="B211" s="223">
        <f>SUBTOTAL(9,$A$198:A211)</f>
        <v>14</v>
      </c>
      <c r="C211" s="225" t="s">
        <v>71</v>
      </c>
      <c r="D211" s="216"/>
      <c r="E211" s="216">
        <v>1968</v>
      </c>
      <c r="F211" s="216" t="s">
        <v>419</v>
      </c>
      <c r="G211" s="216">
        <v>5</v>
      </c>
      <c r="H211" s="216">
        <v>5</v>
      </c>
      <c r="I211" s="217">
        <v>3610.7</v>
      </c>
      <c r="J211" s="217">
        <v>3192.56</v>
      </c>
      <c r="K211" s="218">
        <v>203</v>
      </c>
      <c r="L211" s="216" t="s">
        <v>417</v>
      </c>
      <c r="M211" s="216" t="s">
        <v>423</v>
      </c>
      <c r="N211" s="219" t="s">
        <v>560</v>
      </c>
      <c r="O211" s="221">
        <v>13708684.630000001</v>
      </c>
      <c r="P211" s="221">
        <v>0</v>
      </c>
      <c r="Q211" s="221">
        <v>0</v>
      </c>
      <c r="R211" s="221">
        <v>0</v>
      </c>
      <c r="S211" s="221">
        <f t="shared" si="3"/>
        <v>13708684.630000001</v>
      </c>
      <c r="T211" s="221">
        <f t="shared" si="2"/>
        <v>3796.6833661062956</v>
      </c>
      <c r="U211" s="221">
        <v>3796.87</v>
      </c>
      <c r="V211" s="27">
        <f t="shared" si="91"/>
        <v>0</v>
      </c>
    </row>
    <row r="212" spans="1:22" ht="35.25" x14ac:dyDescent="0.5">
      <c r="A212">
        <v>1</v>
      </c>
      <c r="B212" s="223">
        <f>SUBTOTAL(9,$A$198:A212)</f>
        <v>15</v>
      </c>
      <c r="C212" s="225" t="s">
        <v>72</v>
      </c>
      <c r="D212" s="216"/>
      <c r="E212" s="216">
        <v>2000</v>
      </c>
      <c r="F212" s="216" t="s">
        <v>419</v>
      </c>
      <c r="G212" s="216">
        <v>10</v>
      </c>
      <c r="H212" s="216">
        <v>3</v>
      </c>
      <c r="I212" s="217">
        <v>7042.6</v>
      </c>
      <c r="J212" s="217">
        <v>6031.4</v>
      </c>
      <c r="K212" s="218">
        <v>120</v>
      </c>
      <c r="L212" s="216" t="s">
        <v>417</v>
      </c>
      <c r="M212" s="216" t="s">
        <v>423</v>
      </c>
      <c r="N212" s="219" t="s">
        <v>563</v>
      </c>
      <c r="O212" s="221">
        <v>22200340.390000001</v>
      </c>
      <c r="P212" s="221">
        <v>0</v>
      </c>
      <c r="Q212" s="221">
        <v>0</v>
      </c>
      <c r="R212" s="221">
        <v>0</v>
      </c>
      <c r="S212" s="221">
        <f t="shared" si="3"/>
        <v>22200340.390000001</v>
      </c>
      <c r="T212" s="221">
        <f t="shared" si="2"/>
        <v>3152.2932425524664</v>
      </c>
      <c r="U212" s="221">
        <v>3180.72</v>
      </c>
      <c r="V212" s="27">
        <f t="shared" si="91"/>
        <v>0</v>
      </c>
    </row>
    <row r="213" spans="1:22" ht="35.25" x14ac:dyDescent="0.5">
      <c r="A213">
        <v>1</v>
      </c>
      <c r="B213" s="223">
        <f>SUBTOTAL(9,$A$198:A213)</f>
        <v>16</v>
      </c>
      <c r="C213" s="225" t="s">
        <v>73</v>
      </c>
      <c r="D213" s="216"/>
      <c r="E213" s="216">
        <v>1968</v>
      </c>
      <c r="F213" s="216" t="s">
        <v>419</v>
      </c>
      <c r="G213" s="216">
        <v>5</v>
      </c>
      <c r="H213" s="216">
        <v>8</v>
      </c>
      <c r="I213" s="217">
        <v>6972.6</v>
      </c>
      <c r="J213" s="217">
        <v>6354.1</v>
      </c>
      <c r="K213" s="218">
        <v>278</v>
      </c>
      <c r="L213" s="216" t="s">
        <v>417</v>
      </c>
      <c r="M213" s="216" t="s">
        <v>423</v>
      </c>
      <c r="N213" s="219" t="s">
        <v>564</v>
      </c>
      <c r="O213" s="221">
        <v>8740282.9900000002</v>
      </c>
      <c r="P213" s="221">
        <v>0</v>
      </c>
      <c r="Q213" s="221">
        <v>0</v>
      </c>
      <c r="R213" s="221">
        <v>0</v>
      </c>
      <c r="S213" s="221">
        <f t="shared" si="3"/>
        <v>8740282.9900000002</v>
      </c>
      <c r="T213" s="221">
        <f t="shared" si="2"/>
        <v>1253.5184852135501</v>
      </c>
      <c r="U213" s="221">
        <v>1375.6</v>
      </c>
      <c r="V213" s="27">
        <f t="shared" si="91"/>
        <v>0</v>
      </c>
    </row>
    <row r="214" spans="1:22" ht="35.25" x14ac:dyDescent="0.5">
      <c r="A214">
        <v>1</v>
      </c>
      <c r="B214" s="223">
        <f>SUBTOTAL(9,$A$198:A214)</f>
        <v>17</v>
      </c>
      <c r="C214" s="225" t="s">
        <v>74</v>
      </c>
      <c r="D214" s="216"/>
      <c r="E214" s="216">
        <v>1975</v>
      </c>
      <c r="F214" s="216" t="s">
        <v>419</v>
      </c>
      <c r="G214" s="216">
        <v>5</v>
      </c>
      <c r="H214" s="216">
        <v>4</v>
      </c>
      <c r="I214" s="217">
        <v>4680</v>
      </c>
      <c r="J214" s="217">
        <v>4029.3</v>
      </c>
      <c r="K214" s="218">
        <v>128</v>
      </c>
      <c r="L214" s="216" t="s">
        <v>417</v>
      </c>
      <c r="M214" s="216" t="s">
        <v>423</v>
      </c>
      <c r="N214" s="219" t="s">
        <v>560</v>
      </c>
      <c r="O214" s="221">
        <v>13763291.92</v>
      </c>
      <c r="P214" s="221">
        <v>0</v>
      </c>
      <c r="Q214" s="221">
        <v>0</v>
      </c>
      <c r="R214" s="221">
        <v>0</v>
      </c>
      <c r="S214" s="221">
        <f t="shared" si="3"/>
        <v>13763291.92</v>
      </c>
      <c r="T214" s="221">
        <f t="shared" si="2"/>
        <v>2940.8743418803419</v>
      </c>
      <c r="U214" s="221">
        <v>3039.89</v>
      </c>
      <c r="V214" s="27">
        <f t="shared" si="91"/>
        <v>0</v>
      </c>
    </row>
    <row r="215" spans="1:22" ht="35.25" x14ac:dyDescent="0.5">
      <c r="A215">
        <v>1</v>
      </c>
      <c r="B215" s="223">
        <f>SUBTOTAL(9,$A$198:A215)</f>
        <v>18</v>
      </c>
      <c r="C215" s="225" t="s">
        <v>75</v>
      </c>
      <c r="D215" s="216"/>
      <c r="E215" s="216">
        <v>1950</v>
      </c>
      <c r="F215" s="216" t="s">
        <v>419</v>
      </c>
      <c r="G215" s="216">
        <v>4</v>
      </c>
      <c r="H215" s="216">
        <v>2</v>
      </c>
      <c r="I215" s="217">
        <v>2199.1999999999998</v>
      </c>
      <c r="J215" s="217">
        <v>1877.7</v>
      </c>
      <c r="K215" s="218">
        <v>78</v>
      </c>
      <c r="L215" s="216" t="s">
        <v>417</v>
      </c>
      <c r="M215" s="216" t="s">
        <v>423</v>
      </c>
      <c r="N215" s="219" t="s">
        <v>555</v>
      </c>
      <c r="O215" s="221">
        <v>12389239.58</v>
      </c>
      <c r="P215" s="221">
        <v>0</v>
      </c>
      <c r="Q215" s="221">
        <v>0</v>
      </c>
      <c r="R215" s="221">
        <v>0</v>
      </c>
      <c r="S215" s="221">
        <f t="shared" si="3"/>
        <v>12389239.58</v>
      </c>
      <c r="T215" s="221">
        <f t="shared" si="2"/>
        <v>5633.521089487087</v>
      </c>
      <c r="U215" s="221">
        <v>5739.79</v>
      </c>
      <c r="V215" s="27">
        <f t="shared" si="91"/>
        <v>0</v>
      </c>
    </row>
    <row r="216" spans="1:22" ht="35.25" x14ac:dyDescent="0.5">
      <c r="A216">
        <v>1</v>
      </c>
      <c r="B216" s="223">
        <f>SUBTOTAL(9,$A$198:A216)</f>
        <v>19</v>
      </c>
      <c r="C216" s="225" t="s">
        <v>76</v>
      </c>
      <c r="D216" s="216"/>
      <c r="E216" s="216">
        <v>1965</v>
      </c>
      <c r="F216" s="216" t="s">
        <v>419</v>
      </c>
      <c r="G216" s="216">
        <v>2</v>
      </c>
      <c r="H216" s="216">
        <v>2</v>
      </c>
      <c r="I216" s="217">
        <v>355.8</v>
      </c>
      <c r="J216" s="217">
        <v>325.89999999999998</v>
      </c>
      <c r="K216" s="218">
        <v>20</v>
      </c>
      <c r="L216" s="216" t="s">
        <v>417</v>
      </c>
      <c r="M216" s="216" t="s">
        <v>423</v>
      </c>
      <c r="N216" s="219" t="s">
        <v>440</v>
      </c>
      <c r="O216" s="221">
        <v>6283900.4400000004</v>
      </c>
      <c r="P216" s="221">
        <v>0</v>
      </c>
      <c r="Q216" s="221">
        <v>0</v>
      </c>
      <c r="R216" s="221">
        <v>0</v>
      </c>
      <c r="S216" s="221">
        <f t="shared" si="3"/>
        <v>6283900.4400000004</v>
      </c>
      <c r="T216" s="221">
        <f t="shared" si="2"/>
        <v>17661.327824620574</v>
      </c>
      <c r="U216" s="221">
        <v>17662.169999999998</v>
      </c>
      <c r="V216" s="27">
        <f t="shared" si="91"/>
        <v>0</v>
      </c>
    </row>
    <row r="217" spans="1:22" ht="35.25" x14ac:dyDescent="0.5">
      <c r="A217">
        <v>1</v>
      </c>
      <c r="B217" s="223">
        <f>SUBTOTAL(9,$A$198:A217)</f>
        <v>20</v>
      </c>
      <c r="C217" s="225" t="s">
        <v>77</v>
      </c>
      <c r="D217" s="216"/>
      <c r="E217" s="216">
        <v>1990</v>
      </c>
      <c r="F217" s="216" t="s">
        <v>420</v>
      </c>
      <c r="G217" s="216">
        <v>9</v>
      </c>
      <c r="H217" s="216">
        <v>5</v>
      </c>
      <c r="I217" s="217">
        <v>13283.7</v>
      </c>
      <c r="J217" s="217">
        <v>10256.200000000001</v>
      </c>
      <c r="K217" s="218">
        <v>443</v>
      </c>
      <c r="L217" s="216" t="s">
        <v>417</v>
      </c>
      <c r="M217" s="216" t="s">
        <v>423</v>
      </c>
      <c r="N217" s="219" t="s">
        <v>558</v>
      </c>
      <c r="O217" s="221">
        <v>19999023.359999999</v>
      </c>
      <c r="P217" s="221">
        <v>0</v>
      </c>
      <c r="Q217" s="221">
        <v>0</v>
      </c>
      <c r="R217" s="221">
        <v>0</v>
      </c>
      <c r="S217" s="221">
        <f t="shared" si="3"/>
        <v>19999023.359999999</v>
      </c>
      <c r="T217" s="221">
        <f t="shared" si="2"/>
        <v>1505.5310914880642</v>
      </c>
      <c r="U217" s="221">
        <v>1694.11</v>
      </c>
      <c r="V217" s="27">
        <f t="shared" si="91"/>
        <v>0</v>
      </c>
    </row>
    <row r="218" spans="1:22" ht="35.25" x14ac:dyDescent="0.5">
      <c r="A218">
        <v>1</v>
      </c>
      <c r="B218" s="223">
        <f>SUBTOTAL(9,$A$198:A218)</f>
        <v>21</v>
      </c>
      <c r="C218" s="225" t="s">
        <v>78</v>
      </c>
      <c r="D218" s="216"/>
      <c r="E218" s="216">
        <v>1984</v>
      </c>
      <c r="F218" s="216" t="s">
        <v>420</v>
      </c>
      <c r="G218" s="216">
        <v>5</v>
      </c>
      <c r="H218" s="216">
        <v>7</v>
      </c>
      <c r="I218" s="217">
        <v>5997.9</v>
      </c>
      <c r="J218" s="217">
        <v>5403.5</v>
      </c>
      <c r="K218" s="218">
        <v>219</v>
      </c>
      <c r="L218" s="216" t="s">
        <v>417</v>
      </c>
      <c r="M218" s="216" t="s">
        <v>423</v>
      </c>
      <c r="N218" s="219" t="s">
        <v>558</v>
      </c>
      <c r="O218" s="221">
        <v>7562549.9699999997</v>
      </c>
      <c r="P218" s="221">
        <v>0</v>
      </c>
      <c r="Q218" s="221">
        <v>0</v>
      </c>
      <c r="R218" s="221">
        <v>0</v>
      </c>
      <c r="S218" s="221">
        <f t="shared" si="3"/>
        <v>7562549.9699999997</v>
      </c>
      <c r="T218" s="221">
        <f t="shared" si="2"/>
        <v>1260.8662982043716</v>
      </c>
      <c r="U218" s="221">
        <v>1375.6</v>
      </c>
      <c r="V218" s="27">
        <f t="shared" si="91"/>
        <v>0</v>
      </c>
    </row>
    <row r="219" spans="1:22" ht="35.25" x14ac:dyDescent="0.5">
      <c r="A219">
        <v>1</v>
      </c>
      <c r="B219" s="223">
        <f>SUBTOTAL(9,$A$198:A219)</f>
        <v>22</v>
      </c>
      <c r="C219" s="225" t="s">
        <v>80</v>
      </c>
      <c r="D219" s="216"/>
      <c r="E219" s="216">
        <v>1961</v>
      </c>
      <c r="F219" s="216" t="s">
        <v>419</v>
      </c>
      <c r="G219" s="216">
        <v>2</v>
      </c>
      <c r="H219" s="216">
        <v>2</v>
      </c>
      <c r="I219" s="217">
        <v>756.5</v>
      </c>
      <c r="J219" s="217">
        <v>702.9</v>
      </c>
      <c r="K219" s="218">
        <v>23</v>
      </c>
      <c r="L219" s="216" t="s">
        <v>417</v>
      </c>
      <c r="M219" s="216" t="s">
        <v>423</v>
      </c>
      <c r="N219" s="219" t="s">
        <v>550</v>
      </c>
      <c r="O219" s="221">
        <v>7590951.8399999999</v>
      </c>
      <c r="P219" s="221">
        <v>0</v>
      </c>
      <c r="Q219" s="221">
        <v>0</v>
      </c>
      <c r="R219" s="221">
        <v>0</v>
      </c>
      <c r="S219" s="221">
        <f t="shared" si="3"/>
        <v>7590951.8399999999</v>
      </c>
      <c r="T219" s="221">
        <f t="shared" si="2"/>
        <v>10034.305142101784</v>
      </c>
      <c r="U219" s="221">
        <v>10223.59</v>
      </c>
      <c r="V219" s="27">
        <f t="shared" si="91"/>
        <v>0</v>
      </c>
    </row>
    <row r="220" spans="1:22" ht="35.25" x14ac:dyDescent="0.5">
      <c r="A220">
        <v>1</v>
      </c>
      <c r="B220" s="223">
        <f>SUBTOTAL(9,$A$198:A220)</f>
        <v>23</v>
      </c>
      <c r="C220" s="225" t="s">
        <v>81</v>
      </c>
      <c r="D220" s="216"/>
      <c r="E220" s="216">
        <v>1967</v>
      </c>
      <c r="F220" s="216" t="s">
        <v>419</v>
      </c>
      <c r="G220" s="216">
        <v>2</v>
      </c>
      <c r="H220" s="216">
        <v>2</v>
      </c>
      <c r="I220" s="217">
        <v>383.1</v>
      </c>
      <c r="J220" s="217">
        <v>257.60000000000002</v>
      </c>
      <c r="K220" s="218">
        <v>14</v>
      </c>
      <c r="L220" s="216" t="s">
        <v>417</v>
      </c>
      <c r="M220" s="216" t="s">
        <v>423</v>
      </c>
      <c r="N220" s="219" t="s">
        <v>440</v>
      </c>
      <c r="O220" s="221">
        <v>4760214.9700000007</v>
      </c>
      <c r="P220" s="221">
        <v>0</v>
      </c>
      <c r="Q220" s="221">
        <v>0</v>
      </c>
      <c r="R220" s="221">
        <v>0</v>
      </c>
      <c r="S220" s="221">
        <f t="shared" si="3"/>
        <v>4760214.9700000007</v>
      </c>
      <c r="T220" s="221">
        <f t="shared" si="2"/>
        <v>12425.515452884365</v>
      </c>
      <c r="U220" s="221">
        <v>12659.9</v>
      </c>
      <c r="V220" s="27">
        <f t="shared" si="91"/>
        <v>0</v>
      </c>
    </row>
    <row r="221" spans="1:22" ht="35.25" x14ac:dyDescent="0.5">
      <c r="A221">
        <v>1</v>
      </c>
      <c r="B221" s="223">
        <f>SUBTOTAL(9,$A$198:A221)</f>
        <v>24</v>
      </c>
      <c r="C221" s="225" t="s">
        <v>82</v>
      </c>
      <c r="D221" s="216"/>
      <c r="E221" s="216">
        <v>1961</v>
      </c>
      <c r="F221" s="216" t="s">
        <v>419</v>
      </c>
      <c r="G221" s="216">
        <v>3</v>
      </c>
      <c r="H221" s="216">
        <v>1</v>
      </c>
      <c r="I221" s="217">
        <v>1675.9</v>
      </c>
      <c r="J221" s="217">
        <v>1225.9000000000001</v>
      </c>
      <c r="K221" s="218">
        <v>57</v>
      </c>
      <c r="L221" s="216" t="s">
        <v>417</v>
      </c>
      <c r="M221" s="216" t="s">
        <v>424</v>
      </c>
      <c r="N221" s="219" t="s">
        <v>425</v>
      </c>
      <c r="O221" s="221">
        <v>7400543.8800000008</v>
      </c>
      <c r="P221" s="221">
        <v>0</v>
      </c>
      <c r="Q221" s="221">
        <v>0</v>
      </c>
      <c r="R221" s="221">
        <v>0</v>
      </c>
      <c r="S221" s="221">
        <f t="shared" si="3"/>
        <v>7400543.8800000008</v>
      </c>
      <c r="T221" s="221">
        <f t="shared" si="2"/>
        <v>4415.8624500268515</v>
      </c>
      <c r="U221" s="221">
        <v>4499.16</v>
      </c>
      <c r="V221" s="27">
        <f t="shared" si="91"/>
        <v>0</v>
      </c>
    </row>
    <row r="222" spans="1:22" ht="35.25" x14ac:dyDescent="0.5">
      <c r="A222">
        <v>1</v>
      </c>
      <c r="B222" s="223">
        <f>SUBTOTAL(9,$A$198:A222)</f>
        <v>25</v>
      </c>
      <c r="C222" s="225" t="s">
        <v>83</v>
      </c>
      <c r="D222" s="216"/>
      <c r="E222" s="216">
        <v>1979</v>
      </c>
      <c r="F222" s="216" t="s">
        <v>420</v>
      </c>
      <c r="G222" s="216">
        <v>9</v>
      </c>
      <c r="H222" s="216">
        <v>2</v>
      </c>
      <c r="I222" s="217">
        <v>4850.5</v>
      </c>
      <c r="J222" s="217">
        <v>3834.6</v>
      </c>
      <c r="K222" s="218">
        <v>167</v>
      </c>
      <c r="L222" s="216" t="s">
        <v>417</v>
      </c>
      <c r="M222" s="216" t="s">
        <v>423</v>
      </c>
      <c r="N222" s="219" t="s">
        <v>557</v>
      </c>
      <c r="O222" s="221">
        <v>7384605.04</v>
      </c>
      <c r="P222" s="221">
        <v>0</v>
      </c>
      <c r="Q222" s="221">
        <v>0</v>
      </c>
      <c r="R222" s="221">
        <v>0</v>
      </c>
      <c r="S222" s="221">
        <f t="shared" si="3"/>
        <v>7384605.04</v>
      </c>
      <c r="T222" s="221">
        <f t="shared" si="2"/>
        <v>1522.4420245335532</v>
      </c>
      <c r="U222" s="221">
        <v>1522.51</v>
      </c>
      <c r="V222" s="27">
        <f t="shared" si="91"/>
        <v>0</v>
      </c>
    </row>
    <row r="223" spans="1:22" ht="35.25" x14ac:dyDescent="0.5">
      <c r="A223">
        <v>1</v>
      </c>
      <c r="B223" s="223">
        <f>SUBTOTAL(9,$A$198:A223)</f>
        <v>26</v>
      </c>
      <c r="C223" s="225" t="s">
        <v>79</v>
      </c>
      <c r="D223" s="216"/>
      <c r="E223" s="216">
        <v>1963</v>
      </c>
      <c r="F223" s="216" t="s">
        <v>419</v>
      </c>
      <c r="G223" s="216">
        <v>4</v>
      </c>
      <c r="H223" s="216">
        <v>3</v>
      </c>
      <c r="I223" s="217">
        <v>2233.3000000000002</v>
      </c>
      <c r="J223" s="217">
        <v>1642.5</v>
      </c>
      <c r="K223" s="218">
        <v>94</v>
      </c>
      <c r="L223" s="216" t="s">
        <v>417</v>
      </c>
      <c r="M223" s="216" t="s">
        <v>423</v>
      </c>
      <c r="N223" s="219" t="s">
        <v>564</v>
      </c>
      <c r="O223" s="221">
        <v>10282055.020000001</v>
      </c>
      <c r="P223" s="221">
        <v>0</v>
      </c>
      <c r="Q223" s="221">
        <v>0</v>
      </c>
      <c r="R223" s="221">
        <v>0</v>
      </c>
      <c r="S223" s="221">
        <f t="shared" si="3"/>
        <v>10282055.020000001</v>
      </c>
      <c r="T223" s="221">
        <f t="shared" si="2"/>
        <v>4603.9739488649084</v>
      </c>
      <c r="U223" s="221">
        <v>4713.99</v>
      </c>
      <c r="V223" s="27">
        <f t="shared" si="91"/>
        <v>0</v>
      </c>
    </row>
    <row r="224" spans="1:22" ht="35.25" x14ac:dyDescent="0.5">
      <c r="A224">
        <v>1</v>
      </c>
      <c r="B224" s="223">
        <f>SUBTOTAL(9,$A$198:A224)</f>
        <v>27</v>
      </c>
      <c r="C224" s="225" t="s">
        <v>86</v>
      </c>
      <c r="D224" s="216"/>
      <c r="E224" s="216">
        <v>1970</v>
      </c>
      <c r="F224" s="216" t="s">
        <v>419</v>
      </c>
      <c r="G224" s="216">
        <v>9</v>
      </c>
      <c r="H224" s="216">
        <v>1</v>
      </c>
      <c r="I224" s="217">
        <v>2960.8</v>
      </c>
      <c r="J224" s="217">
        <v>2272.1999999999998</v>
      </c>
      <c r="K224" s="218">
        <v>105</v>
      </c>
      <c r="L224" s="216" t="s">
        <v>417</v>
      </c>
      <c r="M224" s="216" t="s">
        <v>423</v>
      </c>
      <c r="N224" s="219" t="s">
        <v>560</v>
      </c>
      <c r="O224" s="221">
        <v>4163085.72</v>
      </c>
      <c r="P224" s="221">
        <v>0</v>
      </c>
      <c r="Q224" s="221">
        <v>0</v>
      </c>
      <c r="R224" s="221">
        <v>0</v>
      </c>
      <c r="S224" s="221">
        <f t="shared" si="3"/>
        <v>4163085.72</v>
      </c>
      <c r="T224" s="221">
        <f t="shared" si="2"/>
        <v>1406.0678600378276</v>
      </c>
      <c r="U224" s="221">
        <v>1406.13</v>
      </c>
      <c r="V224" s="27">
        <f t="shared" si="91"/>
        <v>0</v>
      </c>
    </row>
    <row r="225" spans="1:96" ht="35.25" x14ac:dyDescent="0.5">
      <c r="A225">
        <v>1</v>
      </c>
      <c r="B225" s="223">
        <f>SUBTOTAL(9,$A$198:A225)</f>
        <v>28</v>
      </c>
      <c r="C225" s="225" t="s">
        <v>89</v>
      </c>
      <c r="D225" s="216"/>
      <c r="E225" s="216">
        <v>1994</v>
      </c>
      <c r="F225" s="216" t="s">
        <v>419</v>
      </c>
      <c r="G225" s="216">
        <v>9</v>
      </c>
      <c r="H225" s="216">
        <v>6</v>
      </c>
      <c r="I225" s="217">
        <v>11085.8</v>
      </c>
      <c r="J225" s="217">
        <v>9319.2999999999993</v>
      </c>
      <c r="K225" s="218">
        <v>444</v>
      </c>
      <c r="L225" s="216" t="s">
        <v>417</v>
      </c>
      <c r="M225" s="216" t="s">
        <v>423</v>
      </c>
      <c r="N225" s="219" t="s">
        <v>553</v>
      </c>
      <c r="O225" s="221">
        <v>4163085.72</v>
      </c>
      <c r="P225" s="221">
        <v>0</v>
      </c>
      <c r="Q225" s="221">
        <v>0</v>
      </c>
      <c r="R225" s="221">
        <v>0</v>
      </c>
      <c r="S225" s="221">
        <f t="shared" si="3"/>
        <v>4163085.72</v>
      </c>
      <c r="T225" s="221">
        <f t="shared" si="2"/>
        <v>375.5331793826337</v>
      </c>
      <c r="U225" s="221">
        <v>375.55</v>
      </c>
      <c r="V225" s="27">
        <f t="shared" si="91"/>
        <v>0</v>
      </c>
    </row>
    <row r="226" spans="1:96" ht="35.25" x14ac:dyDescent="0.5">
      <c r="A226">
        <v>1</v>
      </c>
      <c r="B226" s="223">
        <f>SUBTOTAL(9,$A$198:A226)</f>
        <v>29</v>
      </c>
      <c r="C226" s="225" t="s">
        <v>94</v>
      </c>
      <c r="D226" s="216"/>
      <c r="E226" s="216">
        <v>1970</v>
      </c>
      <c r="F226" s="216" t="s">
        <v>419</v>
      </c>
      <c r="G226" s="216">
        <v>9</v>
      </c>
      <c r="H226" s="216">
        <v>1</v>
      </c>
      <c r="I226" s="217">
        <v>2980.5</v>
      </c>
      <c r="J226" s="217">
        <v>2268.1</v>
      </c>
      <c r="K226" s="218">
        <v>140</v>
      </c>
      <c r="L226" s="216" t="s">
        <v>417</v>
      </c>
      <c r="M226" s="216" t="s">
        <v>423</v>
      </c>
      <c r="N226" s="219" t="s">
        <v>564</v>
      </c>
      <c r="O226" s="221">
        <v>4163085.72</v>
      </c>
      <c r="P226" s="221">
        <v>0</v>
      </c>
      <c r="Q226" s="221">
        <v>0</v>
      </c>
      <c r="R226" s="221">
        <v>0</v>
      </c>
      <c r="S226" s="221">
        <f t="shared" si="3"/>
        <v>4163085.72</v>
      </c>
      <c r="T226" s="221">
        <f t="shared" si="2"/>
        <v>1396.7742727730247</v>
      </c>
      <c r="U226" s="221">
        <v>1396.84</v>
      </c>
      <c r="V226" s="27">
        <f t="shared" si="91"/>
        <v>0</v>
      </c>
    </row>
    <row r="227" spans="1:96" ht="35.25" x14ac:dyDescent="0.5">
      <c r="A227">
        <v>1</v>
      </c>
      <c r="B227" s="223">
        <f>SUBTOTAL(9,$A$198:A227)</f>
        <v>30</v>
      </c>
      <c r="C227" s="225" t="s">
        <v>97</v>
      </c>
      <c r="D227" s="216"/>
      <c r="E227" s="216">
        <v>1993</v>
      </c>
      <c r="F227" s="216" t="s">
        <v>419</v>
      </c>
      <c r="G227" s="216">
        <v>5</v>
      </c>
      <c r="H227" s="216">
        <v>9</v>
      </c>
      <c r="I227" s="217">
        <v>14780.2</v>
      </c>
      <c r="J227" s="217">
        <v>12472.3</v>
      </c>
      <c r="K227" s="218">
        <v>478</v>
      </c>
      <c r="L227" s="216" t="s">
        <v>417</v>
      </c>
      <c r="M227" s="216" t="s">
        <v>423</v>
      </c>
      <c r="N227" s="219" t="s">
        <v>553</v>
      </c>
      <c r="O227" s="221">
        <v>4228644.46</v>
      </c>
      <c r="P227" s="221">
        <v>0</v>
      </c>
      <c r="Q227" s="221">
        <v>0</v>
      </c>
      <c r="R227" s="221">
        <v>0</v>
      </c>
      <c r="S227" s="221">
        <f t="shared" si="3"/>
        <v>4228644.46</v>
      </c>
      <c r="T227" s="221">
        <f t="shared" si="2"/>
        <v>286.10197832235013</v>
      </c>
      <c r="U227" s="221">
        <v>286.12</v>
      </c>
      <c r="V227" s="27">
        <f t="shared" si="91"/>
        <v>0</v>
      </c>
    </row>
    <row r="228" spans="1:96" ht="35.25" x14ac:dyDescent="0.5">
      <c r="A228">
        <v>1</v>
      </c>
      <c r="B228" s="223">
        <f>SUBTOTAL(9,$A$198:A228)</f>
        <v>31</v>
      </c>
      <c r="C228" s="225" t="s">
        <v>105</v>
      </c>
      <c r="D228" s="216"/>
      <c r="E228" s="216">
        <v>1969</v>
      </c>
      <c r="F228" s="216" t="s">
        <v>419</v>
      </c>
      <c r="G228" s="216">
        <v>9</v>
      </c>
      <c r="H228" s="216">
        <v>1</v>
      </c>
      <c r="I228" s="217">
        <v>2300.1</v>
      </c>
      <c r="J228" s="217">
        <v>2294.1999999999998</v>
      </c>
      <c r="K228" s="218">
        <v>140</v>
      </c>
      <c r="L228" s="216" t="s">
        <v>417</v>
      </c>
      <c r="M228" s="216" t="s">
        <v>423</v>
      </c>
      <c r="N228" s="219" t="s">
        <v>560</v>
      </c>
      <c r="O228" s="221">
        <v>4163085.7199999997</v>
      </c>
      <c r="P228" s="221">
        <v>0</v>
      </c>
      <c r="Q228" s="221">
        <v>0</v>
      </c>
      <c r="R228" s="221">
        <v>0</v>
      </c>
      <c r="S228" s="221">
        <f t="shared" si="3"/>
        <v>4163085.7199999997</v>
      </c>
      <c r="T228" s="221">
        <f t="shared" si="2"/>
        <v>1809.9585757140994</v>
      </c>
      <c r="U228" s="221">
        <v>1810.04</v>
      </c>
      <c r="V228" s="27">
        <f t="shared" si="91"/>
        <v>0</v>
      </c>
    </row>
    <row r="229" spans="1:96" ht="35.25" x14ac:dyDescent="0.5">
      <c r="A229">
        <v>1</v>
      </c>
      <c r="B229" s="223">
        <f>SUBTOTAL(9,$A$198:A229)</f>
        <v>32</v>
      </c>
      <c r="C229" s="225" t="s">
        <v>635</v>
      </c>
      <c r="D229" s="216"/>
      <c r="E229" s="216">
        <v>1985</v>
      </c>
      <c r="F229" s="216" t="s">
        <v>420</v>
      </c>
      <c r="G229" s="216">
        <v>9</v>
      </c>
      <c r="H229" s="216">
        <v>2</v>
      </c>
      <c r="I229" s="217">
        <v>3811.3</v>
      </c>
      <c r="J229" s="217">
        <v>2311.4</v>
      </c>
      <c r="K229" s="218">
        <v>192</v>
      </c>
      <c r="L229" s="216" t="s">
        <v>417</v>
      </c>
      <c r="M229" s="216" t="s">
        <v>423</v>
      </c>
      <c r="N229" s="219" t="s">
        <v>440</v>
      </c>
      <c r="O229" s="221">
        <v>8326563</v>
      </c>
      <c r="P229" s="221">
        <v>0</v>
      </c>
      <c r="Q229" s="221">
        <v>0</v>
      </c>
      <c r="R229" s="221">
        <v>0</v>
      </c>
      <c r="S229" s="221">
        <f t="shared" si="3"/>
        <v>8326563</v>
      </c>
      <c r="T229" s="221">
        <f t="shared" si="2"/>
        <v>2184.7041691811191</v>
      </c>
      <c r="U229" s="221">
        <f>T229</f>
        <v>2184.7041691811191</v>
      </c>
      <c r="V229" s="27">
        <f t="shared" si="91"/>
        <v>0</v>
      </c>
    </row>
    <row r="230" spans="1:96" ht="35.25" x14ac:dyDescent="0.5">
      <c r="A230">
        <v>1</v>
      </c>
      <c r="B230" s="223">
        <f>SUBTOTAL(9,$A$198:A230)</f>
        <v>33</v>
      </c>
      <c r="C230" s="225" t="s">
        <v>678</v>
      </c>
      <c r="D230" s="216"/>
      <c r="E230" s="216">
        <v>2002</v>
      </c>
      <c r="F230" s="216" t="s">
        <v>419</v>
      </c>
      <c r="G230" s="216">
        <v>8</v>
      </c>
      <c r="H230" s="216">
        <v>1</v>
      </c>
      <c r="I230" s="217">
        <v>3506.4</v>
      </c>
      <c r="J230" s="217">
        <v>2548.9</v>
      </c>
      <c r="K230" s="218">
        <v>75</v>
      </c>
      <c r="L230" s="216" t="s">
        <v>417</v>
      </c>
      <c r="M230" s="216" t="s">
        <v>423</v>
      </c>
      <c r="N230" s="219" t="s">
        <v>684</v>
      </c>
      <c r="O230" s="221">
        <v>4002526.5</v>
      </c>
      <c r="P230" s="221">
        <v>0</v>
      </c>
      <c r="Q230" s="221">
        <v>0</v>
      </c>
      <c r="R230" s="221">
        <v>0</v>
      </c>
      <c r="S230" s="221">
        <f t="shared" si="3"/>
        <v>4002526.5</v>
      </c>
      <c r="T230" s="221">
        <f t="shared" si="2"/>
        <v>1141.4917008898015</v>
      </c>
      <c r="U230" s="221">
        <f>T230</f>
        <v>1141.4917008898015</v>
      </c>
      <c r="V230" s="27">
        <f t="shared" si="91"/>
        <v>0</v>
      </c>
    </row>
    <row r="231" spans="1:96" ht="35.25" x14ac:dyDescent="0.5">
      <c r="A231">
        <v>1</v>
      </c>
      <c r="B231" s="223">
        <f>SUBTOTAL(9,$A$198:A231)</f>
        <v>34</v>
      </c>
      <c r="C231" s="225" t="s">
        <v>681</v>
      </c>
      <c r="D231" s="216"/>
      <c r="E231" s="216">
        <v>1983</v>
      </c>
      <c r="F231" s="216" t="s">
        <v>419</v>
      </c>
      <c r="G231" s="216">
        <v>13</v>
      </c>
      <c r="H231" s="216">
        <v>1</v>
      </c>
      <c r="I231" s="217">
        <v>4063.7</v>
      </c>
      <c r="J231" s="217">
        <v>3929.2</v>
      </c>
      <c r="K231" s="218">
        <v>200</v>
      </c>
      <c r="L231" s="216" t="s">
        <v>417</v>
      </c>
      <c r="M231" s="216" t="s">
        <v>426</v>
      </c>
      <c r="N231" s="219" t="s">
        <v>683</v>
      </c>
      <c r="O231" s="221">
        <v>3658382.82</v>
      </c>
      <c r="P231" s="221">
        <v>0</v>
      </c>
      <c r="Q231" s="221">
        <v>0</v>
      </c>
      <c r="R231" s="221">
        <v>0</v>
      </c>
      <c r="S231" s="221">
        <f t="shared" ref="S231:S232" si="92">O231-P231-Q231-R231</f>
        <v>3658382.82</v>
      </c>
      <c r="T231" s="221">
        <f t="shared" ref="T231:T236" si="93">O231/I231</f>
        <v>900.25907916430833</v>
      </c>
      <c r="U231" s="221">
        <v>1375.6</v>
      </c>
      <c r="V231" s="27">
        <f t="shared" si="91"/>
        <v>0</v>
      </c>
      <c r="CR231" s="1"/>
    </row>
    <row r="232" spans="1:96" ht="35.25" x14ac:dyDescent="0.5">
      <c r="A232">
        <v>1</v>
      </c>
      <c r="B232" s="223">
        <f>SUBTOTAL(9,$A$198:A232)</f>
        <v>35</v>
      </c>
      <c r="C232" s="225" t="s">
        <v>682</v>
      </c>
      <c r="D232" s="216"/>
      <c r="E232" s="216">
        <v>1959</v>
      </c>
      <c r="F232" s="216" t="s">
        <v>419</v>
      </c>
      <c r="G232" s="216">
        <v>4</v>
      </c>
      <c r="H232" s="216">
        <v>2</v>
      </c>
      <c r="I232" s="217">
        <v>1402.7</v>
      </c>
      <c r="J232" s="217">
        <v>1260.5999999999999</v>
      </c>
      <c r="K232" s="218">
        <v>61</v>
      </c>
      <c r="L232" s="216" t="s">
        <v>417</v>
      </c>
      <c r="M232" s="216" t="s">
        <v>423</v>
      </c>
      <c r="N232" s="219" t="s">
        <v>549</v>
      </c>
      <c r="O232" s="221">
        <v>7845207.1800000006</v>
      </c>
      <c r="P232" s="221">
        <v>0</v>
      </c>
      <c r="Q232" s="221">
        <v>0</v>
      </c>
      <c r="R232" s="221">
        <v>0</v>
      </c>
      <c r="S232" s="221">
        <f t="shared" si="92"/>
        <v>7845207.1800000006</v>
      </c>
      <c r="T232" s="221">
        <f t="shared" si="93"/>
        <v>5592.9330434162684</v>
      </c>
      <c r="U232" s="221">
        <v>5592.93</v>
      </c>
      <c r="V232" s="27">
        <f t="shared" si="91"/>
        <v>0</v>
      </c>
      <c r="CR232" s="1"/>
    </row>
    <row r="233" spans="1:96" ht="35.25" x14ac:dyDescent="0.5">
      <c r="A233">
        <v>1</v>
      </c>
      <c r="B233" s="223">
        <f>SUBTOTAL(9,$A$198:A233)</f>
        <v>36</v>
      </c>
      <c r="C233" s="225" t="s">
        <v>753</v>
      </c>
      <c r="D233" s="216"/>
      <c r="E233" s="216">
        <v>1981</v>
      </c>
      <c r="F233" s="216" t="s">
        <v>419</v>
      </c>
      <c r="G233" s="216">
        <v>9</v>
      </c>
      <c r="H233" s="216">
        <v>2</v>
      </c>
      <c r="I233" s="217">
        <v>6205.1</v>
      </c>
      <c r="J233" s="217">
        <v>5787.5</v>
      </c>
      <c r="K233" s="218">
        <v>369</v>
      </c>
      <c r="L233" s="216" t="s">
        <v>417</v>
      </c>
      <c r="M233" s="216" t="s">
        <v>423</v>
      </c>
      <c r="N233" s="219" t="s">
        <v>560</v>
      </c>
      <c r="O233" s="221">
        <v>7759559.5</v>
      </c>
      <c r="P233" s="221">
        <v>0</v>
      </c>
      <c r="Q233" s="221">
        <v>0</v>
      </c>
      <c r="R233" s="221">
        <v>0</v>
      </c>
      <c r="S233" s="221">
        <f t="shared" ref="S233" si="94">O233-P233-Q233-R233</f>
        <v>7759559.5</v>
      </c>
      <c r="T233" s="221">
        <f t="shared" si="93"/>
        <v>1250.5132068782129</v>
      </c>
      <c r="U233" s="221">
        <v>2173.9299999999998</v>
      </c>
      <c r="V233" s="27">
        <f t="shared" si="91"/>
        <v>0</v>
      </c>
      <c r="CR233" s="1"/>
    </row>
    <row r="234" spans="1:96" ht="35.25" x14ac:dyDescent="0.5">
      <c r="A234">
        <v>1</v>
      </c>
      <c r="B234" s="223">
        <f>SUBTOTAL(9,$A$198:A234)</f>
        <v>37</v>
      </c>
      <c r="C234" s="225" t="s">
        <v>754</v>
      </c>
      <c r="D234" s="216"/>
      <c r="E234" s="216">
        <v>1999</v>
      </c>
      <c r="F234" s="216" t="s">
        <v>419</v>
      </c>
      <c r="G234" s="216">
        <v>9</v>
      </c>
      <c r="H234" s="216">
        <v>5</v>
      </c>
      <c r="I234" s="217">
        <v>5732.9</v>
      </c>
      <c r="J234" s="217">
        <v>3837.2</v>
      </c>
      <c r="K234" s="218">
        <v>164</v>
      </c>
      <c r="L234" s="216" t="s">
        <v>417</v>
      </c>
      <c r="M234" s="216" t="s">
        <v>423</v>
      </c>
      <c r="N234" s="219" t="s">
        <v>560</v>
      </c>
      <c r="O234" s="221">
        <v>4163281.5</v>
      </c>
      <c r="P234" s="221">
        <v>0</v>
      </c>
      <c r="Q234" s="221">
        <v>0</v>
      </c>
      <c r="R234" s="221">
        <v>0</v>
      </c>
      <c r="S234" s="221">
        <f t="shared" ref="S234" si="95">O234-P234-Q234-R234</f>
        <v>4163281.5</v>
      </c>
      <c r="T234" s="221">
        <f t="shared" si="93"/>
        <v>726.2086378621641</v>
      </c>
      <c r="U234" s="221">
        <v>2904.83</v>
      </c>
      <c r="V234" s="27">
        <f t="shared" si="91"/>
        <v>0</v>
      </c>
      <c r="CR234" s="1"/>
    </row>
    <row r="235" spans="1:96" ht="35.25" x14ac:dyDescent="0.5">
      <c r="A235">
        <v>1</v>
      </c>
      <c r="B235" s="223">
        <f>SUBTOTAL(9,$A$198:A235)</f>
        <v>38</v>
      </c>
      <c r="C235" s="225" t="s">
        <v>755</v>
      </c>
      <c r="D235" s="216"/>
      <c r="E235" s="216">
        <v>1961</v>
      </c>
      <c r="F235" s="216" t="s">
        <v>419</v>
      </c>
      <c r="G235" s="216">
        <v>2</v>
      </c>
      <c r="H235" s="216">
        <v>1</v>
      </c>
      <c r="I235" s="217">
        <v>352</v>
      </c>
      <c r="J235" s="217">
        <v>327.5</v>
      </c>
      <c r="K235" s="218">
        <v>23</v>
      </c>
      <c r="L235" s="216" t="s">
        <v>417</v>
      </c>
      <c r="M235" s="216" t="s">
        <v>424</v>
      </c>
      <c r="N235" s="219" t="s">
        <v>425</v>
      </c>
      <c r="O235" s="221">
        <v>5343366.34</v>
      </c>
      <c r="P235" s="221">
        <v>0</v>
      </c>
      <c r="Q235" s="221">
        <v>0</v>
      </c>
      <c r="R235" s="221">
        <v>0</v>
      </c>
      <c r="S235" s="221">
        <f t="shared" ref="S235" si="96">O235-P235-Q235-R235</f>
        <v>5343366.34</v>
      </c>
      <c r="T235" s="221">
        <f t="shared" si="93"/>
        <v>15180.018011363636</v>
      </c>
      <c r="U235" s="221">
        <v>15180.02</v>
      </c>
      <c r="V235" s="27">
        <f t="shared" si="91"/>
        <v>0</v>
      </c>
      <c r="CR235" s="1"/>
    </row>
    <row r="236" spans="1:96" ht="35.25" x14ac:dyDescent="0.5">
      <c r="A236">
        <v>1</v>
      </c>
      <c r="B236" s="223">
        <f>SUBTOTAL(9,$A$198:A236)</f>
        <v>39</v>
      </c>
      <c r="C236" s="225" t="s">
        <v>641</v>
      </c>
      <c r="D236" s="216"/>
      <c r="E236" s="216">
        <v>1999</v>
      </c>
      <c r="F236" s="216" t="s">
        <v>419</v>
      </c>
      <c r="G236" s="216">
        <v>7</v>
      </c>
      <c r="H236" s="216">
        <v>2</v>
      </c>
      <c r="I236" s="217">
        <v>2417.8000000000002</v>
      </c>
      <c r="J236" s="217">
        <v>2149.9</v>
      </c>
      <c r="K236" s="218">
        <v>51</v>
      </c>
      <c r="L236" s="216" t="s">
        <v>417</v>
      </c>
      <c r="M236" s="216" t="s">
        <v>423</v>
      </c>
      <c r="N236" s="219" t="s">
        <v>549</v>
      </c>
      <c r="O236" s="221">
        <v>3820278</v>
      </c>
      <c r="P236" s="221">
        <v>0</v>
      </c>
      <c r="Q236" s="221">
        <v>0</v>
      </c>
      <c r="R236" s="221">
        <v>0</v>
      </c>
      <c r="S236" s="221">
        <f t="shared" ref="S236" si="97">O236-P236-Q236-R236</f>
        <v>3820278</v>
      </c>
      <c r="T236" s="221">
        <f t="shared" si="93"/>
        <v>1580.0636942675158</v>
      </c>
      <c r="U236" s="221">
        <f>T236</f>
        <v>1580.0636942675158</v>
      </c>
      <c r="V236" s="27">
        <f t="shared" si="91"/>
        <v>0</v>
      </c>
      <c r="CR236" s="1"/>
    </row>
    <row r="237" spans="1:96" s="57" customFormat="1" ht="35.25" x14ac:dyDescent="0.5">
      <c r="A237"/>
      <c r="B237" s="215" t="s">
        <v>416</v>
      </c>
      <c r="C237" s="222"/>
      <c r="D237" s="216" t="s">
        <v>422</v>
      </c>
      <c r="E237" s="216" t="s">
        <v>422</v>
      </c>
      <c r="F237" s="216" t="s">
        <v>422</v>
      </c>
      <c r="G237" s="216" t="s">
        <v>422</v>
      </c>
      <c r="H237" s="216" t="s">
        <v>422</v>
      </c>
      <c r="I237" s="217">
        <f>SUM(I238:I243)</f>
        <v>20360.700000000004</v>
      </c>
      <c r="J237" s="217">
        <f t="shared" ref="J237:K237" si="98">SUM(J238:J243)</f>
        <v>18515.5</v>
      </c>
      <c r="K237" s="218">
        <f t="shared" si="98"/>
        <v>668</v>
      </c>
      <c r="L237" s="216" t="s">
        <v>422</v>
      </c>
      <c r="M237" s="216" t="s">
        <v>422</v>
      </c>
      <c r="N237" s="219" t="s">
        <v>422</v>
      </c>
      <c r="O237" s="221">
        <f>SUM(O238:O243)</f>
        <v>68040552.340000004</v>
      </c>
      <c r="P237" s="221">
        <f t="shared" ref="P237:S237" si="99">SUM(P238:P243)</f>
        <v>0</v>
      </c>
      <c r="Q237" s="221">
        <f t="shared" si="99"/>
        <v>0</v>
      </c>
      <c r="R237" s="221">
        <f t="shared" si="99"/>
        <v>0</v>
      </c>
      <c r="S237" s="221">
        <f t="shared" si="99"/>
        <v>68040552.340000004</v>
      </c>
      <c r="T237" s="221">
        <f t="shared" ref="T237:T271" si="100">O237/I237</f>
        <v>3341.7589935513015</v>
      </c>
      <c r="U237" s="221">
        <f>MAX(U238:U243)</f>
        <v>13240.58</v>
      </c>
      <c r="V237" s="27">
        <f t="shared" si="91"/>
        <v>0</v>
      </c>
    </row>
    <row r="238" spans="1:96" ht="35.25" x14ac:dyDescent="0.5">
      <c r="A238">
        <v>1</v>
      </c>
      <c r="B238" s="223">
        <f>SUBTOTAL(9,$A$198:A238)</f>
        <v>40</v>
      </c>
      <c r="C238" s="225" t="s">
        <v>159</v>
      </c>
      <c r="D238" s="216"/>
      <c r="E238" s="216">
        <v>1982</v>
      </c>
      <c r="F238" s="216" t="s">
        <v>420</v>
      </c>
      <c r="G238" s="216">
        <v>5</v>
      </c>
      <c r="H238" s="216">
        <v>12</v>
      </c>
      <c r="I238" s="217">
        <v>10050.1</v>
      </c>
      <c r="J238" s="217">
        <v>9009</v>
      </c>
      <c r="K238" s="218">
        <v>300</v>
      </c>
      <c r="L238" s="216" t="s">
        <v>417</v>
      </c>
      <c r="M238" s="216" t="s">
        <v>423</v>
      </c>
      <c r="N238" s="219" t="s">
        <v>486</v>
      </c>
      <c r="O238" s="221">
        <v>11425450.719999999</v>
      </c>
      <c r="P238" s="221">
        <v>0</v>
      </c>
      <c r="Q238" s="221">
        <v>0</v>
      </c>
      <c r="R238" s="221">
        <v>0</v>
      </c>
      <c r="S238" s="221">
        <f>O238-P238-Q238-R238</f>
        <v>11425450.719999999</v>
      </c>
      <c r="T238" s="221">
        <f t="shared" si="100"/>
        <v>1136.8494562243161</v>
      </c>
      <c r="U238" s="221">
        <v>1136.8499999999999</v>
      </c>
      <c r="V238" s="27">
        <f t="shared" si="91"/>
        <v>0</v>
      </c>
    </row>
    <row r="239" spans="1:96" ht="35.25" x14ac:dyDescent="0.5">
      <c r="A239">
        <v>1</v>
      </c>
      <c r="B239" s="223">
        <f>SUBTOTAL(9,$A$198:A239)</f>
        <v>41</v>
      </c>
      <c r="C239" s="225" t="s">
        <v>160</v>
      </c>
      <c r="D239" s="216"/>
      <c r="E239" s="216">
        <v>1964</v>
      </c>
      <c r="F239" s="216" t="s">
        <v>419</v>
      </c>
      <c r="G239" s="216">
        <v>5</v>
      </c>
      <c r="H239" s="216">
        <v>4</v>
      </c>
      <c r="I239" s="217">
        <v>3463.3</v>
      </c>
      <c r="J239" s="217">
        <v>3210.5</v>
      </c>
      <c r="K239" s="218">
        <v>143</v>
      </c>
      <c r="L239" s="216" t="s">
        <v>417</v>
      </c>
      <c r="M239" s="216" t="s">
        <v>423</v>
      </c>
      <c r="N239" s="219" t="s">
        <v>438</v>
      </c>
      <c r="O239" s="221">
        <v>14287797.950000001</v>
      </c>
      <c r="P239" s="221">
        <v>0</v>
      </c>
      <c r="Q239" s="221">
        <v>0</v>
      </c>
      <c r="R239" s="221">
        <v>0</v>
      </c>
      <c r="S239" s="221">
        <f>O239-P239-Q239-R239</f>
        <v>14287797.950000001</v>
      </c>
      <c r="T239" s="221">
        <f t="shared" si="100"/>
        <v>4125.4866601218491</v>
      </c>
      <c r="U239" s="221">
        <v>4203.1099999999997</v>
      </c>
      <c r="V239" s="27">
        <f t="shared" si="91"/>
        <v>0</v>
      </c>
    </row>
    <row r="240" spans="1:96" ht="35.25" x14ac:dyDescent="0.5">
      <c r="A240">
        <v>1</v>
      </c>
      <c r="B240" s="223">
        <f>SUBTOTAL(9,$A$198:A240)</f>
        <v>42</v>
      </c>
      <c r="C240" s="225" t="s">
        <v>161</v>
      </c>
      <c r="D240" s="216"/>
      <c r="E240" s="216">
        <v>1976</v>
      </c>
      <c r="F240" s="216" t="s">
        <v>419</v>
      </c>
      <c r="G240" s="216">
        <v>2</v>
      </c>
      <c r="H240" s="216">
        <v>1</v>
      </c>
      <c r="I240" s="217">
        <v>402.1</v>
      </c>
      <c r="J240" s="217">
        <v>371.5</v>
      </c>
      <c r="K240" s="218">
        <v>21</v>
      </c>
      <c r="L240" s="216" t="s">
        <v>417</v>
      </c>
      <c r="M240" s="216" t="s">
        <v>424</v>
      </c>
      <c r="N240" s="219" t="s">
        <v>425</v>
      </c>
      <c r="O240" s="221">
        <v>4646190.66</v>
      </c>
      <c r="P240" s="221">
        <v>0</v>
      </c>
      <c r="Q240" s="221">
        <v>0</v>
      </c>
      <c r="R240" s="221">
        <v>0</v>
      </c>
      <c r="S240" s="221">
        <f>O240-P240-Q240-R240</f>
        <v>4646190.66</v>
      </c>
      <c r="T240" s="221">
        <f t="shared" si="100"/>
        <v>11554.813877144989</v>
      </c>
      <c r="U240" s="221">
        <v>11772.21</v>
      </c>
      <c r="V240" s="27">
        <f t="shared" si="91"/>
        <v>0</v>
      </c>
    </row>
    <row r="241" spans="1:22" ht="35.25" x14ac:dyDescent="0.5">
      <c r="A241">
        <v>1</v>
      </c>
      <c r="B241" s="223">
        <f>SUBTOTAL(9,$A$198:A241)</f>
        <v>43</v>
      </c>
      <c r="C241" s="225" t="s">
        <v>162</v>
      </c>
      <c r="D241" s="216"/>
      <c r="E241" s="216">
        <v>1972</v>
      </c>
      <c r="F241" s="216" t="s">
        <v>419</v>
      </c>
      <c r="G241" s="216">
        <v>5</v>
      </c>
      <c r="H241" s="216">
        <v>6</v>
      </c>
      <c r="I241" s="217">
        <v>5111.8</v>
      </c>
      <c r="J241" s="217">
        <v>4755.8</v>
      </c>
      <c r="K241" s="218">
        <v>148</v>
      </c>
      <c r="L241" s="216" t="s">
        <v>417</v>
      </c>
      <c r="M241" s="216" t="s">
        <v>423</v>
      </c>
      <c r="N241" s="219" t="s">
        <v>487</v>
      </c>
      <c r="O241" s="221">
        <v>21922275.240000002</v>
      </c>
      <c r="P241" s="221">
        <v>0</v>
      </c>
      <c r="Q241" s="221">
        <v>0</v>
      </c>
      <c r="R241" s="221">
        <v>0</v>
      </c>
      <c r="S241" s="221">
        <f>O241-P241-Q241-R241</f>
        <v>21922275.240000002</v>
      </c>
      <c r="T241" s="221">
        <f t="shared" si="100"/>
        <v>4288.5627841464848</v>
      </c>
      <c r="U241" s="221">
        <v>4452.97</v>
      </c>
      <c r="V241" s="27">
        <f t="shared" si="91"/>
        <v>0</v>
      </c>
    </row>
    <row r="242" spans="1:22" ht="35.25" x14ac:dyDescent="0.5">
      <c r="A242">
        <v>1</v>
      </c>
      <c r="B242" s="223">
        <f>SUBTOTAL(9,$A$198:A242)</f>
        <v>44</v>
      </c>
      <c r="C242" s="225" t="s">
        <v>781</v>
      </c>
      <c r="D242" s="216"/>
      <c r="E242" s="216">
        <v>1968</v>
      </c>
      <c r="F242" s="216" t="s">
        <v>419</v>
      </c>
      <c r="G242" s="216">
        <v>2</v>
      </c>
      <c r="H242" s="216">
        <v>2</v>
      </c>
      <c r="I242" s="217">
        <v>766.4</v>
      </c>
      <c r="J242" s="217">
        <v>611.9</v>
      </c>
      <c r="K242" s="218">
        <v>27</v>
      </c>
      <c r="L242" s="216" t="s">
        <v>417</v>
      </c>
      <c r="M242" s="216" t="s">
        <v>423</v>
      </c>
      <c r="N242" s="219" t="s">
        <v>437</v>
      </c>
      <c r="O242" s="221">
        <v>8251431.5</v>
      </c>
      <c r="P242" s="221">
        <v>0</v>
      </c>
      <c r="Q242" s="221">
        <v>0</v>
      </c>
      <c r="R242" s="221">
        <v>0</v>
      </c>
      <c r="S242" s="221">
        <f t="shared" ref="S242:S243" si="101">O242-P242-Q242-R242</f>
        <v>8251431.5</v>
      </c>
      <c r="T242" s="221">
        <f t="shared" si="100"/>
        <v>10766.481602296451</v>
      </c>
      <c r="U242" s="221">
        <v>10766.48</v>
      </c>
      <c r="V242" s="27">
        <f t="shared" si="91"/>
        <v>0</v>
      </c>
    </row>
    <row r="243" spans="1:22" ht="35.25" x14ac:dyDescent="0.5">
      <c r="A243">
        <v>1</v>
      </c>
      <c r="B243" s="223">
        <f>SUBTOTAL(9,$A$198:A243)</f>
        <v>45</v>
      </c>
      <c r="C243" s="225" t="s">
        <v>782</v>
      </c>
      <c r="D243" s="216"/>
      <c r="E243" s="216">
        <v>1988</v>
      </c>
      <c r="F243" s="216" t="s">
        <v>419</v>
      </c>
      <c r="G243" s="216">
        <v>2</v>
      </c>
      <c r="H243" s="216">
        <v>2</v>
      </c>
      <c r="I243" s="217">
        <v>567</v>
      </c>
      <c r="J243" s="217">
        <v>556.79999999999995</v>
      </c>
      <c r="K243" s="218">
        <v>29</v>
      </c>
      <c r="L243" s="216" t="s">
        <v>417</v>
      </c>
      <c r="M243" s="216" t="s">
        <v>423</v>
      </c>
      <c r="N243" s="219" t="s">
        <v>437</v>
      </c>
      <c r="O243" s="221">
        <v>7507406.2699999996</v>
      </c>
      <c r="P243" s="221">
        <v>0</v>
      </c>
      <c r="Q243" s="221">
        <v>0</v>
      </c>
      <c r="R243" s="221">
        <v>0</v>
      </c>
      <c r="S243" s="221">
        <f t="shared" si="101"/>
        <v>7507406.2699999996</v>
      </c>
      <c r="T243" s="221">
        <f t="shared" si="100"/>
        <v>13240.575432098765</v>
      </c>
      <c r="U243" s="221">
        <v>13240.58</v>
      </c>
      <c r="V243" s="27">
        <f t="shared" si="91"/>
        <v>0</v>
      </c>
    </row>
    <row r="244" spans="1:22" ht="35.25" x14ac:dyDescent="0.5">
      <c r="B244" s="215" t="s">
        <v>414</v>
      </c>
      <c r="C244" s="222"/>
      <c r="D244" s="216" t="s">
        <v>422</v>
      </c>
      <c r="E244" s="216" t="s">
        <v>422</v>
      </c>
      <c r="F244" s="216" t="s">
        <v>422</v>
      </c>
      <c r="G244" s="216" t="s">
        <v>422</v>
      </c>
      <c r="H244" s="216" t="s">
        <v>422</v>
      </c>
      <c r="I244" s="217">
        <f>SUM(I245:I262)</f>
        <v>82900.639999999999</v>
      </c>
      <c r="J244" s="217">
        <f t="shared" ref="J244:K244" si="102">SUM(J245:J262)</f>
        <v>69019.599999999991</v>
      </c>
      <c r="K244" s="218">
        <f t="shared" si="102"/>
        <v>2524</v>
      </c>
      <c r="L244" s="216" t="s">
        <v>422</v>
      </c>
      <c r="M244" s="216" t="s">
        <v>422</v>
      </c>
      <c r="N244" s="219" t="s">
        <v>422</v>
      </c>
      <c r="O244" s="221">
        <f>SUM(O245:O262)</f>
        <v>219003561.21000004</v>
      </c>
      <c r="P244" s="221">
        <f t="shared" ref="P244:S244" si="103">SUM(P245:P262)</f>
        <v>0</v>
      </c>
      <c r="Q244" s="221">
        <f t="shared" si="103"/>
        <v>0</v>
      </c>
      <c r="R244" s="221">
        <f t="shared" si="103"/>
        <v>0</v>
      </c>
      <c r="S244" s="221">
        <f t="shared" si="103"/>
        <v>219003561.21000004</v>
      </c>
      <c r="T244" s="221">
        <f t="shared" si="100"/>
        <v>2641.7595957039662</v>
      </c>
      <c r="U244" s="221">
        <f>MAX(U245:U262)</f>
        <v>15500.6</v>
      </c>
      <c r="V244" s="27">
        <f t="shared" si="91"/>
        <v>0</v>
      </c>
    </row>
    <row r="245" spans="1:22" ht="35.25" x14ac:dyDescent="0.5">
      <c r="A245">
        <v>1</v>
      </c>
      <c r="B245" s="223">
        <f>SUBTOTAL(9,$A$198:A245)</f>
        <v>46</v>
      </c>
      <c r="C245" s="225" t="s">
        <v>124</v>
      </c>
      <c r="D245" s="216"/>
      <c r="E245" s="216">
        <v>1959</v>
      </c>
      <c r="F245" s="216" t="s">
        <v>419</v>
      </c>
      <c r="G245" s="216">
        <v>2</v>
      </c>
      <c r="H245" s="216" t="s">
        <v>317</v>
      </c>
      <c r="I245" s="217">
        <v>315.10000000000002</v>
      </c>
      <c r="J245" s="217">
        <v>206.1</v>
      </c>
      <c r="K245" s="218">
        <v>11</v>
      </c>
      <c r="L245" s="216" t="s">
        <v>417</v>
      </c>
      <c r="M245" s="216" t="s">
        <v>423</v>
      </c>
      <c r="N245" s="219" t="s">
        <v>431</v>
      </c>
      <c r="O245" s="221">
        <v>4236905.97</v>
      </c>
      <c r="P245" s="221">
        <v>0</v>
      </c>
      <c r="Q245" s="221">
        <v>0</v>
      </c>
      <c r="R245" s="221">
        <v>0</v>
      </c>
      <c r="S245" s="221">
        <f t="shared" ref="S245:S276" si="104">O245-P245-Q245-R245</f>
        <v>4236905.97</v>
      </c>
      <c r="T245" s="221">
        <f t="shared" si="100"/>
        <v>13446.226499523958</v>
      </c>
      <c r="U245" s="221">
        <v>13446.23</v>
      </c>
      <c r="V245" s="27">
        <f t="shared" si="91"/>
        <v>0</v>
      </c>
    </row>
    <row r="246" spans="1:22" ht="35.25" x14ac:dyDescent="0.5">
      <c r="A246">
        <v>1</v>
      </c>
      <c r="B246" s="223">
        <f>SUBTOTAL(9,$A$198:A246)</f>
        <v>47</v>
      </c>
      <c r="C246" s="225" t="s">
        <v>125</v>
      </c>
      <c r="D246" s="216"/>
      <c r="E246" s="216">
        <v>1964</v>
      </c>
      <c r="F246" s="216" t="s">
        <v>419</v>
      </c>
      <c r="G246" s="216">
        <v>2</v>
      </c>
      <c r="H246" s="216" t="s">
        <v>319</v>
      </c>
      <c r="I246" s="217">
        <v>625.5</v>
      </c>
      <c r="J246" s="217">
        <v>624.1</v>
      </c>
      <c r="K246" s="218">
        <v>22</v>
      </c>
      <c r="L246" s="216" t="s">
        <v>417</v>
      </c>
      <c r="M246" s="216" t="s">
        <v>423</v>
      </c>
      <c r="N246" s="219" t="s">
        <v>488</v>
      </c>
      <c r="O246" s="221">
        <v>9695624.4000000004</v>
      </c>
      <c r="P246" s="221">
        <v>0</v>
      </c>
      <c r="Q246" s="221">
        <v>0</v>
      </c>
      <c r="R246" s="221">
        <v>0</v>
      </c>
      <c r="S246" s="221">
        <f t="shared" si="104"/>
        <v>9695624.4000000004</v>
      </c>
      <c r="T246" s="221">
        <f t="shared" si="100"/>
        <v>15500.598561151081</v>
      </c>
      <c r="U246" s="221">
        <v>15500.6</v>
      </c>
      <c r="V246" s="27">
        <f t="shared" si="91"/>
        <v>0</v>
      </c>
    </row>
    <row r="247" spans="1:22" ht="35.25" x14ac:dyDescent="0.5">
      <c r="A247">
        <v>1</v>
      </c>
      <c r="B247" s="223">
        <f>SUBTOTAL(9,$A$198:A247)</f>
        <v>48</v>
      </c>
      <c r="C247" s="225" t="s">
        <v>126</v>
      </c>
      <c r="D247" s="216"/>
      <c r="E247" s="216">
        <v>1954</v>
      </c>
      <c r="F247" s="216" t="s">
        <v>419</v>
      </c>
      <c r="G247" s="216">
        <v>3</v>
      </c>
      <c r="H247" s="216" t="s">
        <v>319</v>
      </c>
      <c r="I247" s="217">
        <v>1106</v>
      </c>
      <c r="J247" s="217">
        <v>1106</v>
      </c>
      <c r="K247" s="218">
        <v>30</v>
      </c>
      <c r="L247" s="216" t="s">
        <v>417</v>
      </c>
      <c r="M247" s="216" t="s">
        <v>423</v>
      </c>
      <c r="N247" s="219" t="s">
        <v>435</v>
      </c>
      <c r="O247" s="221">
        <v>11957936.76</v>
      </c>
      <c r="P247" s="221">
        <v>0</v>
      </c>
      <c r="Q247" s="221">
        <v>0</v>
      </c>
      <c r="R247" s="221">
        <v>0</v>
      </c>
      <c r="S247" s="221">
        <f t="shared" si="104"/>
        <v>11957936.76</v>
      </c>
      <c r="T247" s="221">
        <f t="shared" si="100"/>
        <v>10811.877721518988</v>
      </c>
      <c r="U247" s="221">
        <v>10811.88</v>
      </c>
      <c r="V247" s="27">
        <f t="shared" si="91"/>
        <v>0</v>
      </c>
    </row>
    <row r="248" spans="1:22" ht="35.25" x14ac:dyDescent="0.5">
      <c r="A248">
        <v>1</v>
      </c>
      <c r="B248" s="223">
        <f>SUBTOTAL(9,$A$198:A248)</f>
        <v>49</v>
      </c>
      <c r="C248" s="225" t="s">
        <v>127</v>
      </c>
      <c r="D248" s="216"/>
      <c r="E248" s="216">
        <v>1962</v>
      </c>
      <c r="F248" s="216" t="s">
        <v>419</v>
      </c>
      <c r="G248" s="216">
        <v>4</v>
      </c>
      <c r="H248" s="216" t="s">
        <v>319</v>
      </c>
      <c r="I248" s="217">
        <v>1717.5</v>
      </c>
      <c r="J248" s="217">
        <v>1270.9000000000001</v>
      </c>
      <c r="K248" s="218">
        <v>83</v>
      </c>
      <c r="L248" s="216" t="s">
        <v>417</v>
      </c>
      <c r="M248" s="216" t="s">
        <v>423</v>
      </c>
      <c r="N248" s="219" t="s">
        <v>432</v>
      </c>
      <c r="O248" s="221">
        <v>7515149.9199999999</v>
      </c>
      <c r="P248" s="221">
        <v>0</v>
      </c>
      <c r="Q248" s="221">
        <v>0</v>
      </c>
      <c r="R248" s="221">
        <v>0</v>
      </c>
      <c r="S248" s="221">
        <f t="shared" si="104"/>
        <v>7515149.9199999999</v>
      </c>
      <c r="T248" s="221">
        <f t="shared" si="100"/>
        <v>4375.6331411935953</v>
      </c>
      <c r="U248" s="221">
        <v>4457.96</v>
      </c>
      <c r="V248" s="27">
        <f t="shared" si="91"/>
        <v>0</v>
      </c>
    </row>
    <row r="249" spans="1:22" ht="35.25" x14ac:dyDescent="0.5">
      <c r="A249">
        <v>1</v>
      </c>
      <c r="B249" s="223">
        <f>SUBTOTAL(9,$A$198:A249)</f>
        <v>50</v>
      </c>
      <c r="C249" s="225" t="s">
        <v>128</v>
      </c>
      <c r="D249" s="216"/>
      <c r="E249" s="216">
        <v>1971</v>
      </c>
      <c r="F249" s="216" t="s">
        <v>419</v>
      </c>
      <c r="G249" s="216">
        <v>5</v>
      </c>
      <c r="H249" s="216" t="s">
        <v>321</v>
      </c>
      <c r="I249" s="217">
        <v>4067.1</v>
      </c>
      <c r="J249" s="217">
        <v>3423</v>
      </c>
      <c r="K249" s="218">
        <v>120</v>
      </c>
      <c r="L249" s="216" t="s">
        <v>417</v>
      </c>
      <c r="M249" s="216" t="s">
        <v>423</v>
      </c>
      <c r="N249" s="219" t="s">
        <v>428</v>
      </c>
      <c r="O249" s="221">
        <v>16274361.82</v>
      </c>
      <c r="P249" s="221">
        <v>0</v>
      </c>
      <c r="Q249" s="221">
        <v>0</v>
      </c>
      <c r="R249" s="221">
        <v>0</v>
      </c>
      <c r="S249" s="221">
        <f t="shared" si="104"/>
        <v>16274361.82</v>
      </c>
      <c r="T249" s="221">
        <f t="shared" si="100"/>
        <v>4001.4658651127343</v>
      </c>
      <c r="U249" s="221">
        <v>4076.75</v>
      </c>
      <c r="V249" s="27">
        <f t="shared" si="91"/>
        <v>0</v>
      </c>
    </row>
    <row r="250" spans="1:22" ht="35.25" x14ac:dyDescent="0.5">
      <c r="A250">
        <v>1</v>
      </c>
      <c r="B250" s="223">
        <f>SUBTOTAL(9,$A$198:A250)</f>
        <v>51</v>
      </c>
      <c r="C250" s="225" t="s">
        <v>129</v>
      </c>
      <c r="D250" s="216"/>
      <c r="E250" s="216">
        <v>1979</v>
      </c>
      <c r="F250" s="216" t="s">
        <v>419</v>
      </c>
      <c r="G250" s="216">
        <v>5</v>
      </c>
      <c r="H250" s="216" t="s">
        <v>319</v>
      </c>
      <c r="I250" s="217">
        <v>1836</v>
      </c>
      <c r="J250" s="217">
        <v>1219.9000000000001</v>
      </c>
      <c r="K250" s="218">
        <v>91</v>
      </c>
      <c r="L250" s="216" t="s">
        <v>417</v>
      </c>
      <c r="M250" s="216" t="s">
        <v>423</v>
      </c>
      <c r="N250" s="219" t="s">
        <v>433</v>
      </c>
      <c r="O250" s="221">
        <v>8366570.71</v>
      </c>
      <c r="P250" s="221">
        <v>0</v>
      </c>
      <c r="Q250" s="221">
        <v>0</v>
      </c>
      <c r="R250" s="221">
        <v>0</v>
      </c>
      <c r="S250" s="221">
        <f t="shared" si="104"/>
        <v>8366570.71</v>
      </c>
      <c r="T250" s="221">
        <f t="shared" si="100"/>
        <v>4556.9557244008711</v>
      </c>
      <c r="U250" s="221">
        <v>4642.6899999999996</v>
      </c>
      <c r="V250" s="27">
        <f t="shared" si="91"/>
        <v>0</v>
      </c>
    </row>
    <row r="251" spans="1:22" ht="35.25" x14ac:dyDescent="0.5">
      <c r="A251">
        <v>1</v>
      </c>
      <c r="B251" s="223">
        <f>SUBTOTAL(9,$A$198:A251)</f>
        <v>52</v>
      </c>
      <c r="C251" s="225" t="s">
        <v>130</v>
      </c>
      <c r="D251" s="216"/>
      <c r="E251" s="216">
        <v>1960</v>
      </c>
      <c r="F251" s="216" t="s">
        <v>419</v>
      </c>
      <c r="G251" s="216">
        <v>3</v>
      </c>
      <c r="H251" s="216" t="s">
        <v>319</v>
      </c>
      <c r="I251" s="217">
        <v>1090.8</v>
      </c>
      <c r="J251" s="217">
        <v>970.4</v>
      </c>
      <c r="K251" s="218">
        <v>57</v>
      </c>
      <c r="L251" s="216" t="s">
        <v>417</v>
      </c>
      <c r="M251" s="216" t="s">
        <v>424</v>
      </c>
      <c r="N251" s="219" t="s">
        <v>425</v>
      </c>
      <c r="O251" s="221">
        <v>11760433.300000001</v>
      </c>
      <c r="P251" s="221">
        <v>0</v>
      </c>
      <c r="Q251" s="221">
        <v>0</v>
      </c>
      <c r="R251" s="221">
        <v>0</v>
      </c>
      <c r="S251" s="221">
        <f t="shared" si="104"/>
        <v>11760433.300000001</v>
      </c>
      <c r="T251" s="221">
        <f t="shared" si="100"/>
        <v>10781.475339200588</v>
      </c>
      <c r="U251" s="221">
        <v>10784.77</v>
      </c>
      <c r="V251" s="27">
        <f t="shared" si="91"/>
        <v>0</v>
      </c>
    </row>
    <row r="252" spans="1:22" ht="35.25" x14ac:dyDescent="0.5">
      <c r="A252">
        <v>1</v>
      </c>
      <c r="B252" s="223">
        <f>SUBTOTAL(9,$A$198:A252)</f>
        <v>53</v>
      </c>
      <c r="C252" s="225" t="s">
        <v>131</v>
      </c>
      <c r="D252" s="216"/>
      <c r="E252" s="216">
        <v>1995</v>
      </c>
      <c r="F252" s="216" t="s">
        <v>420</v>
      </c>
      <c r="G252" s="216">
        <v>9</v>
      </c>
      <c r="H252" s="216" t="s">
        <v>326</v>
      </c>
      <c r="I252" s="217">
        <v>5812.5</v>
      </c>
      <c r="J252" s="217">
        <v>5812.5</v>
      </c>
      <c r="K252" s="218">
        <v>231</v>
      </c>
      <c r="L252" s="216" t="s">
        <v>417</v>
      </c>
      <c r="M252" s="216" t="s">
        <v>423</v>
      </c>
      <c r="N252" s="219" t="s">
        <v>427</v>
      </c>
      <c r="O252" s="221">
        <v>11649068.350000001</v>
      </c>
      <c r="P252" s="221">
        <v>0</v>
      </c>
      <c r="Q252" s="221">
        <v>0</v>
      </c>
      <c r="R252" s="221">
        <v>0</v>
      </c>
      <c r="S252" s="221">
        <f t="shared" si="104"/>
        <v>11649068.350000001</v>
      </c>
      <c r="T252" s="221">
        <f t="shared" si="100"/>
        <v>2004.1407913978496</v>
      </c>
      <c r="U252" s="221">
        <v>2004.14</v>
      </c>
      <c r="V252" s="27">
        <f t="shared" si="91"/>
        <v>0</v>
      </c>
    </row>
    <row r="253" spans="1:22" ht="35.25" x14ac:dyDescent="0.5">
      <c r="A253">
        <v>1</v>
      </c>
      <c r="B253" s="223">
        <f>SUBTOTAL(9,$A$198:A253)</f>
        <v>54</v>
      </c>
      <c r="C253" s="225" t="s">
        <v>132</v>
      </c>
      <c r="D253" s="216"/>
      <c r="E253" s="216">
        <v>1980</v>
      </c>
      <c r="F253" s="216" t="s">
        <v>420</v>
      </c>
      <c r="G253" s="216">
        <v>9</v>
      </c>
      <c r="H253" s="216" t="s">
        <v>326</v>
      </c>
      <c r="I253" s="217">
        <v>6488.2</v>
      </c>
      <c r="J253" s="217">
        <v>5784.3</v>
      </c>
      <c r="K253" s="218">
        <v>235</v>
      </c>
      <c r="L253" s="216" t="s">
        <v>417</v>
      </c>
      <c r="M253" s="216" t="s">
        <v>423</v>
      </c>
      <c r="N253" s="219" t="s">
        <v>434</v>
      </c>
      <c r="O253" s="221">
        <v>10891889.600000001</v>
      </c>
      <c r="P253" s="221">
        <v>0</v>
      </c>
      <c r="Q253" s="221">
        <v>0</v>
      </c>
      <c r="R253" s="221">
        <v>0</v>
      </c>
      <c r="S253" s="221">
        <f t="shared" si="104"/>
        <v>10891889.600000001</v>
      </c>
      <c r="T253" s="221">
        <f t="shared" si="100"/>
        <v>1678.7228507136035</v>
      </c>
      <c r="U253" s="221">
        <v>1710.31</v>
      </c>
      <c r="V253" s="27">
        <f t="shared" si="91"/>
        <v>0</v>
      </c>
    </row>
    <row r="254" spans="1:22" ht="35.25" x14ac:dyDescent="0.5">
      <c r="A254">
        <v>1</v>
      </c>
      <c r="B254" s="223">
        <f>SUBTOTAL(9,$A$198:A254)</f>
        <v>55</v>
      </c>
      <c r="C254" s="225" t="s">
        <v>133</v>
      </c>
      <c r="D254" s="216"/>
      <c r="E254" s="216">
        <v>1979</v>
      </c>
      <c r="F254" s="216" t="s">
        <v>420</v>
      </c>
      <c r="G254" s="216">
        <v>9</v>
      </c>
      <c r="H254" s="216" t="s">
        <v>326</v>
      </c>
      <c r="I254" s="217">
        <v>6596.6</v>
      </c>
      <c r="J254" s="217">
        <v>5833.2</v>
      </c>
      <c r="K254" s="218">
        <v>281</v>
      </c>
      <c r="L254" s="216" t="s">
        <v>417</v>
      </c>
      <c r="M254" s="216" t="s">
        <v>423</v>
      </c>
      <c r="N254" s="219" t="s">
        <v>434</v>
      </c>
      <c r="O254" s="221">
        <v>11937482.050000001</v>
      </c>
      <c r="P254" s="221">
        <v>0</v>
      </c>
      <c r="Q254" s="221">
        <v>0</v>
      </c>
      <c r="R254" s="221">
        <v>0</v>
      </c>
      <c r="S254" s="221">
        <f t="shared" si="104"/>
        <v>11937482.050000001</v>
      </c>
      <c r="T254" s="221">
        <f t="shared" si="100"/>
        <v>1809.6416411484704</v>
      </c>
      <c r="U254" s="221">
        <v>1809.64</v>
      </c>
      <c r="V254" s="27">
        <f t="shared" si="91"/>
        <v>0</v>
      </c>
    </row>
    <row r="255" spans="1:22" ht="35.25" x14ac:dyDescent="0.5">
      <c r="A255">
        <v>1</v>
      </c>
      <c r="B255" s="223">
        <f>SUBTOTAL(9,$A$198:A255)</f>
        <v>56</v>
      </c>
      <c r="C255" s="225" t="s">
        <v>134</v>
      </c>
      <c r="D255" s="216"/>
      <c r="E255" s="216">
        <v>1979</v>
      </c>
      <c r="F255" s="216" t="s">
        <v>419</v>
      </c>
      <c r="G255" s="216">
        <v>5</v>
      </c>
      <c r="H255" s="216" t="s">
        <v>323</v>
      </c>
      <c r="I255" s="217">
        <v>5602.4</v>
      </c>
      <c r="J255" s="217">
        <v>4226</v>
      </c>
      <c r="K255" s="218">
        <v>156</v>
      </c>
      <c r="L255" s="216" t="s">
        <v>417</v>
      </c>
      <c r="M255" s="216" t="s">
        <v>423</v>
      </c>
      <c r="N255" s="219" t="s">
        <v>435</v>
      </c>
      <c r="O255" s="221">
        <v>21443494.300000001</v>
      </c>
      <c r="P255" s="221">
        <v>0</v>
      </c>
      <c r="Q255" s="221">
        <v>0</v>
      </c>
      <c r="R255" s="221">
        <v>0</v>
      </c>
      <c r="S255" s="221">
        <f t="shared" si="104"/>
        <v>21443494.300000001</v>
      </c>
      <c r="T255" s="221">
        <f t="shared" si="100"/>
        <v>3827.5550299871488</v>
      </c>
      <c r="U255" s="221">
        <v>3827.56</v>
      </c>
      <c r="V255" s="27">
        <f t="shared" si="91"/>
        <v>0</v>
      </c>
    </row>
    <row r="256" spans="1:22" ht="35.25" x14ac:dyDescent="0.5">
      <c r="A256">
        <v>1</v>
      </c>
      <c r="B256" s="223">
        <f>SUBTOTAL(9,$A$198:A256)</f>
        <v>57</v>
      </c>
      <c r="C256" s="225" t="s">
        <v>135</v>
      </c>
      <c r="D256" s="216"/>
      <c r="E256" s="216">
        <v>1961</v>
      </c>
      <c r="F256" s="216" t="s">
        <v>419</v>
      </c>
      <c r="G256" s="216">
        <v>5</v>
      </c>
      <c r="H256" s="216" t="s">
        <v>321</v>
      </c>
      <c r="I256" s="217">
        <v>3397.1</v>
      </c>
      <c r="J256" s="217">
        <v>3397.1</v>
      </c>
      <c r="K256" s="218">
        <v>101</v>
      </c>
      <c r="L256" s="216" t="s">
        <v>417</v>
      </c>
      <c r="M256" s="216" t="s">
        <v>423</v>
      </c>
      <c r="N256" s="219" t="s">
        <v>435</v>
      </c>
      <c r="O256" s="221">
        <v>14865271.210000001</v>
      </c>
      <c r="P256" s="221">
        <v>0</v>
      </c>
      <c r="Q256" s="221">
        <v>0</v>
      </c>
      <c r="R256" s="221">
        <v>0</v>
      </c>
      <c r="S256" s="221">
        <f t="shared" si="104"/>
        <v>14865271.210000001</v>
      </c>
      <c r="T256" s="221">
        <f t="shared" si="100"/>
        <v>4375.8709516940926</v>
      </c>
      <c r="U256" s="221">
        <v>4458.2</v>
      </c>
      <c r="V256" s="27">
        <f t="shared" si="91"/>
        <v>0</v>
      </c>
    </row>
    <row r="257" spans="1:22" ht="35.25" x14ac:dyDescent="0.5">
      <c r="A257">
        <v>1</v>
      </c>
      <c r="B257" s="223">
        <f>SUBTOTAL(9,$A$198:A257)</f>
        <v>58</v>
      </c>
      <c r="C257" s="225" t="s">
        <v>136</v>
      </c>
      <c r="D257" s="216"/>
      <c r="E257" s="216">
        <v>1955</v>
      </c>
      <c r="F257" s="216" t="s">
        <v>419</v>
      </c>
      <c r="G257" s="216">
        <v>2</v>
      </c>
      <c r="H257" s="216" t="s">
        <v>319</v>
      </c>
      <c r="I257" s="217">
        <v>631.6</v>
      </c>
      <c r="J257" s="217">
        <v>406.9</v>
      </c>
      <c r="K257" s="218">
        <v>25</v>
      </c>
      <c r="L257" s="216" t="s">
        <v>417</v>
      </c>
      <c r="M257" s="216" t="s">
        <v>424</v>
      </c>
      <c r="N257" s="219" t="s">
        <v>425</v>
      </c>
      <c r="O257" s="221">
        <v>9210843.1799999997</v>
      </c>
      <c r="P257" s="221">
        <v>0</v>
      </c>
      <c r="Q257" s="221">
        <v>0</v>
      </c>
      <c r="R257" s="221">
        <v>0</v>
      </c>
      <c r="S257" s="221">
        <f t="shared" si="104"/>
        <v>9210843.1799999997</v>
      </c>
      <c r="T257" s="221">
        <f t="shared" si="100"/>
        <v>14583.34892336922</v>
      </c>
      <c r="U257" s="221">
        <v>14583.35</v>
      </c>
      <c r="V257" s="27">
        <f t="shared" si="91"/>
        <v>0</v>
      </c>
    </row>
    <row r="258" spans="1:22" ht="35.25" x14ac:dyDescent="0.5">
      <c r="A258">
        <v>1</v>
      </c>
      <c r="B258" s="223">
        <f>SUBTOTAL(9,$A$198:A258)</f>
        <v>59</v>
      </c>
      <c r="C258" s="225" t="s">
        <v>137</v>
      </c>
      <c r="D258" s="216"/>
      <c r="E258" s="216">
        <v>1992</v>
      </c>
      <c r="F258" s="216" t="s">
        <v>420</v>
      </c>
      <c r="G258" s="216">
        <v>9</v>
      </c>
      <c r="H258" s="216" t="s">
        <v>319</v>
      </c>
      <c r="I258" s="217">
        <v>4929.04</v>
      </c>
      <c r="J258" s="217">
        <v>3924.5</v>
      </c>
      <c r="K258" s="218">
        <v>189</v>
      </c>
      <c r="L258" s="216" t="s">
        <v>417</v>
      </c>
      <c r="M258" s="216" t="s">
        <v>423</v>
      </c>
      <c r="N258" s="219" t="s">
        <v>548</v>
      </c>
      <c r="O258" s="221">
        <v>8251431.5</v>
      </c>
      <c r="P258" s="221">
        <v>0</v>
      </c>
      <c r="Q258" s="221">
        <v>0</v>
      </c>
      <c r="R258" s="221">
        <v>0</v>
      </c>
      <c r="S258" s="221">
        <f t="shared" si="104"/>
        <v>8251431.5</v>
      </c>
      <c r="T258" s="221">
        <f t="shared" si="100"/>
        <v>1674.0443372340253</v>
      </c>
      <c r="U258" s="221">
        <v>1705.54</v>
      </c>
      <c r="V258" s="27">
        <f t="shared" si="91"/>
        <v>0</v>
      </c>
    </row>
    <row r="259" spans="1:22" ht="35.25" x14ac:dyDescent="0.5">
      <c r="A259">
        <v>1</v>
      </c>
      <c r="B259" s="223">
        <f>SUBTOTAL(9,$A$198:A259)</f>
        <v>60</v>
      </c>
      <c r="C259" s="225" t="s">
        <v>138</v>
      </c>
      <c r="D259" s="216"/>
      <c r="E259" s="216">
        <v>1962</v>
      </c>
      <c r="F259" s="216" t="s">
        <v>419</v>
      </c>
      <c r="G259" s="216">
        <v>3</v>
      </c>
      <c r="H259" s="216" t="s">
        <v>319</v>
      </c>
      <c r="I259" s="217">
        <v>1088.8</v>
      </c>
      <c r="J259" s="217">
        <v>876.2</v>
      </c>
      <c r="K259" s="218">
        <v>30</v>
      </c>
      <c r="L259" s="216" t="s">
        <v>417</v>
      </c>
      <c r="M259" s="216" t="s">
        <v>423</v>
      </c>
      <c r="N259" s="219" t="s">
        <v>428</v>
      </c>
      <c r="O259" s="221">
        <v>6093364.7999999998</v>
      </c>
      <c r="P259" s="221">
        <v>0</v>
      </c>
      <c r="Q259" s="221">
        <v>0</v>
      </c>
      <c r="R259" s="221">
        <v>0</v>
      </c>
      <c r="S259" s="221">
        <f t="shared" si="104"/>
        <v>6093364.7999999998</v>
      </c>
      <c r="T259" s="221">
        <f t="shared" si="100"/>
        <v>5596.4041146216023</v>
      </c>
      <c r="U259" s="221">
        <v>5701.7</v>
      </c>
      <c r="V259" s="27">
        <f t="shared" si="91"/>
        <v>0</v>
      </c>
    </row>
    <row r="260" spans="1:22" ht="35.25" x14ac:dyDescent="0.5">
      <c r="A260">
        <v>1</v>
      </c>
      <c r="B260" s="223">
        <f>SUBTOTAL(9,$A$198:A260)</f>
        <v>61</v>
      </c>
      <c r="C260" s="225" t="s">
        <v>677</v>
      </c>
      <c r="D260" s="216"/>
      <c r="E260" s="216">
        <v>2000</v>
      </c>
      <c r="F260" s="216" t="s">
        <v>420</v>
      </c>
      <c r="G260" s="216">
        <v>9</v>
      </c>
      <c r="H260" s="216">
        <v>4</v>
      </c>
      <c r="I260" s="217">
        <v>12720.6</v>
      </c>
      <c r="J260" s="217">
        <v>10195.6</v>
      </c>
      <c r="K260" s="218">
        <v>335</v>
      </c>
      <c r="L260" s="216" t="s">
        <v>417</v>
      </c>
      <c r="M260" s="216" t="s">
        <v>423</v>
      </c>
      <c r="N260" s="219" t="s">
        <v>430</v>
      </c>
      <c r="O260" s="221">
        <v>16010106</v>
      </c>
      <c r="P260" s="221">
        <v>0</v>
      </c>
      <c r="Q260" s="221">
        <v>0</v>
      </c>
      <c r="R260" s="221">
        <v>0</v>
      </c>
      <c r="S260" s="221">
        <f t="shared" ref="S260:S261" si="105">O260-P260-Q260-R260</f>
        <v>16010106</v>
      </c>
      <c r="T260" s="221">
        <f t="shared" si="100"/>
        <v>1258.5967643035706</v>
      </c>
      <c r="U260" s="221">
        <f>T260</f>
        <v>1258.5967643035706</v>
      </c>
      <c r="V260" s="27">
        <f t="shared" si="91"/>
        <v>0</v>
      </c>
    </row>
    <row r="261" spans="1:22" ht="35.25" x14ac:dyDescent="0.5">
      <c r="A261">
        <v>1</v>
      </c>
      <c r="B261" s="223">
        <f>SUBTOTAL(9,$A$198:A261)</f>
        <v>62</v>
      </c>
      <c r="C261" s="225" t="s">
        <v>650</v>
      </c>
      <c r="D261" s="216"/>
      <c r="E261" s="216">
        <v>2001</v>
      </c>
      <c r="F261" s="216" t="s">
        <v>420</v>
      </c>
      <c r="G261" s="216">
        <v>9</v>
      </c>
      <c r="H261" s="216">
        <v>7</v>
      </c>
      <c r="I261" s="217">
        <v>21475.9</v>
      </c>
      <c r="J261" s="217">
        <v>17117.099999999999</v>
      </c>
      <c r="K261" s="218">
        <v>453</v>
      </c>
      <c r="L261" s="216" t="s">
        <v>417</v>
      </c>
      <c r="M261" s="216" t="s">
        <v>423</v>
      </c>
      <c r="N261" s="219" t="s">
        <v>430</v>
      </c>
      <c r="O261" s="221">
        <v>28178440.5</v>
      </c>
      <c r="P261" s="221">
        <v>0</v>
      </c>
      <c r="Q261" s="221">
        <v>0</v>
      </c>
      <c r="R261" s="221">
        <v>0</v>
      </c>
      <c r="S261" s="221">
        <f t="shared" si="105"/>
        <v>28178440.5</v>
      </c>
      <c r="T261" s="221">
        <f t="shared" si="100"/>
        <v>1312.0959075056226</v>
      </c>
      <c r="U261" s="221">
        <f>T261</f>
        <v>1312.0959075056226</v>
      </c>
      <c r="V261" s="27">
        <f t="shared" si="91"/>
        <v>0</v>
      </c>
    </row>
    <row r="262" spans="1:22" ht="35.25" x14ac:dyDescent="0.5">
      <c r="A262">
        <v>1</v>
      </c>
      <c r="B262" s="223">
        <f>SUBTOTAL(9,$A$198:A262)</f>
        <v>63</v>
      </c>
      <c r="C262" s="225" t="s">
        <v>756</v>
      </c>
      <c r="D262" s="216"/>
      <c r="E262" s="216">
        <v>1958</v>
      </c>
      <c r="F262" s="216" t="s">
        <v>419</v>
      </c>
      <c r="G262" s="216">
        <v>4</v>
      </c>
      <c r="H262" s="216">
        <v>4</v>
      </c>
      <c r="I262" s="217">
        <v>3399.9</v>
      </c>
      <c r="J262" s="217">
        <v>2625.8</v>
      </c>
      <c r="K262" s="218">
        <v>74</v>
      </c>
      <c r="L262" s="216" t="s">
        <v>417</v>
      </c>
      <c r="M262" s="216" t="s">
        <v>423</v>
      </c>
      <c r="N262" s="219" t="s">
        <v>757</v>
      </c>
      <c r="O262" s="221">
        <v>10665186.84</v>
      </c>
      <c r="P262" s="221">
        <v>0</v>
      </c>
      <c r="Q262" s="221">
        <v>0</v>
      </c>
      <c r="R262" s="221">
        <v>0</v>
      </c>
      <c r="S262" s="221">
        <f t="shared" ref="S262" si="106">O262-P262-Q262-R262</f>
        <v>10665186.84</v>
      </c>
      <c r="T262" s="221">
        <f t="shared" si="100"/>
        <v>3136.9119209388509</v>
      </c>
      <c r="U262" s="221">
        <v>3435.09</v>
      </c>
      <c r="V262" s="27">
        <f t="shared" si="91"/>
        <v>0</v>
      </c>
    </row>
    <row r="263" spans="1:22" s="59" customFormat="1" ht="35.25" x14ac:dyDescent="0.5">
      <c r="B263" s="236" t="s">
        <v>471</v>
      </c>
      <c r="C263" s="236"/>
      <c r="D263" s="216" t="s">
        <v>422</v>
      </c>
      <c r="E263" s="216" t="s">
        <v>422</v>
      </c>
      <c r="F263" s="216" t="s">
        <v>422</v>
      </c>
      <c r="G263" s="216" t="s">
        <v>422</v>
      </c>
      <c r="H263" s="216" t="s">
        <v>422</v>
      </c>
      <c r="I263" s="217">
        <f>SUM(I264:I276)</f>
        <v>55110.69000000001</v>
      </c>
      <c r="J263" s="217">
        <f t="shared" ref="J263:K263" si="107">SUM(J264:J276)</f>
        <v>45077.47</v>
      </c>
      <c r="K263" s="218">
        <f t="shared" si="107"/>
        <v>1966</v>
      </c>
      <c r="L263" s="216" t="s">
        <v>422</v>
      </c>
      <c r="M263" s="216" t="s">
        <v>422</v>
      </c>
      <c r="N263" s="219" t="s">
        <v>422</v>
      </c>
      <c r="O263" s="221">
        <f>SUM(O264:O276)</f>
        <v>201970693.61999997</v>
      </c>
      <c r="P263" s="221">
        <f t="shared" ref="P263:R263" si="108">SUM(P264:P276)</f>
        <v>0</v>
      </c>
      <c r="Q263" s="221">
        <f t="shared" si="108"/>
        <v>0</v>
      </c>
      <c r="R263" s="221">
        <f t="shared" si="108"/>
        <v>0</v>
      </c>
      <c r="S263" s="221">
        <f>SUM(S264:S276)</f>
        <v>201970693.61999997</v>
      </c>
      <c r="T263" s="221">
        <f t="shared" si="100"/>
        <v>3664.8188150066699</v>
      </c>
      <c r="U263" s="221">
        <f>MAX(U264:U276)</f>
        <v>18687.41</v>
      </c>
      <c r="V263" s="27">
        <f t="shared" si="91"/>
        <v>0</v>
      </c>
    </row>
    <row r="264" spans="1:22" ht="35.25" x14ac:dyDescent="0.5">
      <c r="A264">
        <v>1</v>
      </c>
      <c r="B264" s="223">
        <f>SUBTOTAL(9,$A$198:A264)</f>
        <v>64</v>
      </c>
      <c r="C264" s="225" t="s">
        <v>402</v>
      </c>
      <c r="D264" s="238"/>
      <c r="E264" s="216">
        <v>1954</v>
      </c>
      <c r="F264" s="216" t="s">
        <v>419</v>
      </c>
      <c r="G264" s="216">
        <v>4</v>
      </c>
      <c r="H264" s="216" t="s">
        <v>326</v>
      </c>
      <c r="I264" s="217">
        <v>3082.9</v>
      </c>
      <c r="J264" s="217">
        <v>1559.69</v>
      </c>
      <c r="K264" s="218">
        <v>28</v>
      </c>
      <c r="L264" s="216" t="s">
        <v>417</v>
      </c>
      <c r="M264" s="216" t="s">
        <v>426</v>
      </c>
      <c r="N264" s="219" t="s">
        <v>480</v>
      </c>
      <c r="O264" s="221">
        <v>23869892.800000001</v>
      </c>
      <c r="P264" s="221">
        <v>0</v>
      </c>
      <c r="Q264" s="221">
        <v>0</v>
      </c>
      <c r="R264" s="221">
        <v>0</v>
      </c>
      <c r="S264" s="221">
        <f t="shared" si="104"/>
        <v>23869892.800000001</v>
      </c>
      <c r="T264" s="221">
        <f t="shared" si="100"/>
        <v>7742.6750137857216</v>
      </c>
      <c r="U264" s="221">
        <v>7742.68</v>
      </c>
      <c r="V264" s="27">
        <f t="shared" si="91"/>
        <v>0</v>
      </c>
    </row>
    <row r="265" spans="1:22" ht="35.25" x14ac:dyDescent="0.5">
      <c r="A265">
        <v>1</v>
      </c>
      <c r="B265" s="223">
        <f>SUBTOTAL(9,$A$198:A265)</f>
        <v>65</v>
      </c>
      <c r="C265" s="225" t="s">
        <v>394</v>
      </c>
      <c r="D265" s="238"/>
      <c r="E265" s="216">
        <v>1964</v>
      </c>
      <c r="F265" s="216" t="s">
        <v>419</v>
      </c>
      <c r="G265" s="216">
        <v>4</v>
      </c>
      <c r="H265" s="216" t="s">
        <v>326</v>
      </c>
      <c r="I265" s="217">
        <v>2620.8000000000002</v>
      </c>
      <c r="J265" s="217">
        <v>2511.5</v>
      </c>
      <c r="K265" s="218">
        <v>38</v>
      </c>
      <c r="L265" s="216" t="s">
        <v>417</v>
      </c>
      <c r="M265" s="216" t="s">
        <v>426</v>
      </c>
      <c r="N265" s="219" t="s">
        <v>481</v>
      </c>
      <c r="O265" s="221">
        <v>11412364.49</v>
      </c>
      <c r="P265" s="221">
        <v>0</v>
      </c>
      <c r="Q265" s="221">
        <v>0</v>
      </c>
      <c r="R265" s="221">
        <v>0</v>
      </c>
      <c r="S265" s="221">
        <f t="shared" si="104"/>
        <v>11412364.49</v>
      </c>
      <c r="T265" s="221">
        <f t="shared" si="100"/>
        <v>4354.5346802503054</v>
      </c>
      <c r="U265" s="221">
        <v>4436.46</v>
      </c>
      <c r="V265" s="27">
        <f t="shared" si="91"/>
        <v>0</v>
      </c>
    </row>
    <row r="266" spans="1:22" ht="35.25" x14ac:dyDescent="0.5">
      <c r="A266">
        <v>1</v>
      </c>
      <c r="B266" s="223">
        <f>SUBTOTAL(9,$A$198:A266)</f>
        <v>66</v>
      </c>
      <c r="C266" s="225" t="s">
        <v>393</v>
      </c>
      <c r="D266" s="238"/>
      <c r="E266" s="216">
        <v>1959</v>
      </c>
      <c r="F266" s="216" t="s">
        <v>419</v>
      </c>
      <c r="G266" s="216">
        <v>4</v>
      </c>
      <c r="H266" s="216" t="s">
        <v>321</v>
      </c>
      <c r="I266" s="217">
        <v>2583.1</v>
      </c>
      <c r="J266" s="217">
        <v>2583.1</v>
      </c>
      <c r="K266" s="218">
        <v>136</v>
      </c>
      <c r="L266" s="216" t="s">
        <v>417</v>
      </c>
      <c r="M266" s="216" t="s">
        <v>423</v>
      </c>
      <c r="N266" s="219" t="s">
        <v>473</v>
      </c>
      <c r="O266" s="221">
        <v>14459046.890000001</v>
      </c>
      <c r="P266" s="221">
        <v>0</v>
      </c>
      <c r="Q266" s="221">
        <v>0</v>
      </c>
      <c r="R266" s="221">
        <v>0</v>
      </c>
      <c r="S266" s="221">
        <f t="shared" si="104"/>
        <v>14459046.890000001</v>
      </c>
      <c r="T266" s="221">
        <f t="shared" si="100"/>
        <v>5597.5559947350084</v>
      </c>
      <c r="U266" s="221">
        <v>5702.87</v>
      </c>
      <c r="V266" s="27">
        <f t="shared" si="91"/>
        <v>0</v>
      </c>
    </row>
    <row r="267" spans="1:22" ht="35.25" x14ac:dyDescent="0.5">
      <c r="A267">
        <v>1</v>
      </c>
      <c r="B267" s="223">
        <f>SUBTOTAL(9,$A$198:A267)</f>
        <v>67</v>
      </c>
      <c r="C267" s="225" t="s">
        <v>398</v>
      </c>
      <c r="D267" s="238"/>
      <c r="E267" s="216">
        <v>1979</v>
      </c>
      <c r="F267" s="216" t="s">
        <v>419</v>
      </c>
      <c r="G267" s="216">
        <v>5</v>
      </c>
      <c r="H267" s="216" t="s">
        <v>323</v>
      </c>
      <c r="I267" s="217">
        <v>4894.3999999999996</v>
      </c>
      <c r="J267" s="217">
        <v>4412.3999999999996</v>
      </c>
      <c r="K267" s="218">
        <v>276</v>
      </c>
      <c r="L267" s="216" t="s">
        <v>417</v>
      </c>
      <c r="M267" s="216" t="s">
        <v>423</v>
      </c>
      <c r="N267" s="219" t="s">
        <v>476</v>
      </c>
      <c r="O267" s="221">
        <v>15804553.699999999</v>
      </c>
      <c r="P267" s="221">
        <v>0</v>
      </c>
      <c r="Q267" s="221">
        <v>0</v>
      </c>
      <c r="R267" s="221">
        <v>0</v>
      </c>
      <c r="S267" s="221">
        <f t="shared" si="104"/>
        <v>15804553.699999999</v>
      </c>
      <c r="T267" s="221">
        <f t="shared" si="100"/>
        <v>3229.1095333442304</v>
      </c>
      <c r="U267" s="221">
        <v>3229.11</v>
      </c>
      <c r="V267" s="27">
        <f t="shared" si="91"/>
        <v>0</v>
      </c>
    </row>
    <row r="268" spans="1:22" ht="35.25" x14ac:dyDescent="0.5">
      <c r="A268">
        <v>1</v>
      </c>
      <c r="B268" s="223">
        <f>SUBTOTAL(9,$A$198:A268)</f>
        <v>68</v>
      </c>
      <c r="C268" s="225" t="s">
        <v>405</v>
      </c>
      <c r="D268" s="238"/>
      <c r="E268" s="216">
        <v>1995</v>
      </c>
      <c r="F268" s="216" t="s">
        <v>420</v>
      </c>
      <c r="G268" s="216">
        <v>9</v>
      </c>
      <c r="H268" s="216" t="s">
        <v>321</v>
      </c>
      <c r="I268" s="217">
        <v>10288.06</v>
      </c>
      <c r="J268" s="217">
        <v>7717.7</v>
      </c>
      <c r="K268" s="218">
        <v>344</v>
      </c>
      <c r="L268" s="216" t="s">
        <v>417</v>
      </c>
      <c r="M268" s="216" t="s">
        <v>423</v>
      </c>
      <c r="N268" s="219" t="s">
        <v>473</v>
      </c>
      <c r="O268" s="221">
        <v>15933887.199999999</v>
      </c>
      <c r="P268" s="221">
        <v>0</v>
      </c>
      <c r="Q268" s="221">
        <v>0</v>
      </c>
      <c r="R268" s="221">
        <v>0</v>
      </c>
      <c r="S268" s="221">
        <f t="shared" si="104"/>
        <v>15933887.199999999</v>
      </c>
      <c r="T268" s="221">
        <f t="shared" si="100"/>
        <v>1548.7747155440384</v>
      </c>
      <c r="U268" s="221">
        <v>1548.77</v>
      </c>
      <c r="V268" s="27">
        <f t="shared" si="91"/>
        <v>0</v>
      </c>
    </row>
    <row r="269" spans="1:22" ht="35.25" x14ac:dyDescent="0.5">
      <c r="A269">
        <v>1</v>
      </c>
      <c r="B269" s="223">
        <f>SUBTOTAL(9,$A$198:A269)</f>
        <v>69</v>
      </c>
      <c r="C269" s="225" t="s">
        <v>410</v>
      </c>
      <c r="D269" s="238"/>
      <c r="E269" s="216">
        <v>1973</v>
      </c>
      <c r="F269" s="216" t="s">
        <v>419</v>
      </c>
      <c r="G269" s="216">
        <v>2</v>
      </c>
      <c r="H269" s="216" t="s">
        <v>319</v>
      </c>
      <c r="I269" s="217">
        <v>774.7</v>
      </c>
      <c r="J269" s="217">
        <v>712.5</v>
      </c>
      <c r="K269" s="218">
        <v>16</v>
      </c>
      <c r="L269" s="216" t="s">
        <v>417</v>
      </c>
      <c r="M269" s="216" t="s">
        <v>423</v>
      </c>
      <c r="N269" s="219" t="s">
        <v>477</v>
      </c>
      <c r="O269" s="221">
        <v>8276820.5199999996</v>
      </c>
      <c r="P269" s="221">
        <v>0</v>
      </c>
      <c r="Q269" s="221">
        <v>0</v>
      </c>
      <c r="R269" s="221">
        <v>0</v>
      </c>
      <c r="S269" s="221">
        <f t="shared" si="104"/>
        <v>8276820.5199999996</v>
      </c>
      <c r="T269" s="221">
        <f t="shared" si="100"/>
        <v>10683.904117722988</v>
      </c>
      <c r="U269" s="221">
        <v>10884.92</v>
      </c>
      <c r="V269" s="27">
        <f t="shared" si="91"/>
        <v>0</v>
      </c>
    </row>
    <row r="270" spans="1:22" ht="35.25" x14ac:dyDescent="0.5">
      <c r="A270">
        <v>1</v>
      </c>
      <c r="B270" s="223">
        <f>SUBTOTAL(9,$A$198:A270)</f>
        <v>70</v>
      </c>
      <c r="C270" s="225" t="s">
        <v>383</v>
      </c>
      <c r="D270" s="238"/>
      <c r="E270" s="216">
        <v>1973</v>
      </c>
      <c r="F270" s="216" t="s">
        <v>419</v>
      </c>
      <c r="G270" s="216">
        <v>5</v>
      </c>
      <c r="H270" s="216" t="s">
        <v>321</v>
      </c>
      <c r="I270" s="217">
        <v>3581.4</v>
      </c>
      <c r="J270" s="217">
        <v>3309.3</v>
      </c>
      <c r="K270" s="218">
        <v>70</v>
      </c>
      <c r="L270" s="216" t="s">
        <v>417</v>
      </c>
      <c r="M270" s="216" t="s">
        <v>423</v>
      </c>
      <c r="N270" s="219" t="s">
        <v>478</v>
      </c>
      <c r="O270" s="221">
        <v>16075992.4</v>
      </c>
      <c r="P270" s="221">
        <v>0</v>
      </c>
      <c r="Q270" s="221">
        <v>0</v>
      </c>
      <c r="R270" s="221">
        <v>0</v>
      </c>
      <c r="S270" s="221">
        <f t="shared" si="104"/>
        <v>16075992.4</v>
      </c>
      <c r="T270" s="221">
        <f t="shared" si="100"/>
        <v>4488.7452951359801</v>
      </c>
      <c r="U270" s="221">
        <v>4488.7452951359801</v>
      </c>
      <c r="V270" s="27">
        <f t="shared" ref="V270:V333" si="109">O270-P270-Q270-R270-S270</f>
        <v>0</v>
      </c>
    </row>
    <row r="271" spans="1:22" ht="35.25" x14ac:dyDescent="0.5">
      <c r="A271">
        <v>1</v>
      </c>
      <c r="B271" s="223">
        <f>SUBTOTAL(9,$A$198:A271)</f>
        <v>71</v>
      </c>
      <c r="C271" s="225" t="s">
        <v>385</v>
      </c>
      <c r="D271" s="238"/>
      <c r="E271" s="216">
        <v>1952</v>
      </c>
      <c r="F271" s="216" t="s">
        <v>574</v>
      </c>
      <c r="G271" s="216">
        <v>2</v>
      </c>
      <c r="H271" s="216" t="s">
        <v>326</v>
      </c>
      <c r="I271" s="217">
        <v>864.72</v>
      </c>
      <c r="J271" s="217">
        <v>783.4</v>
      </c>
      <c r="K271" s="218">
        <v>37</v>
      </c>
      <c r="L271" s="216" t="s">
        <v>417</v>
      </c>
      <c r="M271" s="216" t="s">
        <v>423</v>
      </c>
      <c r="N271" s="219" t="s">
        <v>476</v>
      </c>
      <c r="O271" s="221">
        <v>16159374</v>
      </c>
      <c r="P271" s="221">
        <v>0</v>
      </c>
      <c r="Q271" s="221">
        <v>0</v>
      </c>
      <c r="R271" s="221">
        <v>0</v>
      </c>
      <c r="S271" s="221">
        <f t="shared" si="104"/>
        <v>16159374</v>
      </c>
      <c r="T271" s="221">
        <f t="shared" si="100"/>
        <v>18687.406328059951</v>
      </c>
      <c r="U271" s="221">
        <v>18687.41</v>
      </c>
      <c r="V271" s="27">
        <f t="shared" si="109"/>
        <v>0</v>
      </c>
    </row>
    <row r="272" spans="1:22" ht="35.25" x14ac:dyDescent="0.5">
      <c r="A272">
        <v>1</v>
      </c>
      <c r="B272" s="223">
        <f>SUBTOTAL(9,$A$198:A272)</f>
        <v>72</v>
      </c>
      <c r="C272" s="225" t="s">
        <v>401</v>
      </c>
      <c r="D272" s="238"/>
      <c r="E272" s="216">
        <v>1965</v>
      </c>
      <c r="F272" s="216" t="s">
        <v>419</v>
      </c>
      <c r="G272" s="216">
        <v>2</v>
      </c>
      <c r="H272" s="216" t="s">
        <v>319</v>
      </c>
      <c r="I272" s="217">
        <v>679.7</v>
      </c>
      <c r="J272" s="217">
        <v>631.20000000000005</v>
      </c>
      <c r="K272" s="218">
        <v>16</v>
      </c>
      <c r="L272" s="216" t="s">
        <v>417</v>
      </c>
      <c r="M272" s="216" t="s">
        <v>424</v>
      </c>
      <c r="N272" s="219" t="s">
        <v>425</v>
      </c>
      <c r="O272" s="221">
        <v>7610167.3700000001</v>
      </c>
      <c r="P272" s="221">
        <v>0</v>
      </c>
      <c r="Q272" s="221">
        <v>0</v>
      </c>
      <c r="R272" s="221">
        <v>0</v>
      </c>
      <c r="S272" s="221">
        <f t="shared" si="104"/>
        <v>7610167.3700000001</v>
      </c>
      <c r="T272" s="221">
        <f t="shared" ref="T272:T309" si="110">O272/I272</f>
        <v>11196.362174488744</v>
      </c>
      <c r="U272" s="221">
        <v>11196.362174488744</v>
      </c>
      <c r="V272" s="27">
        <f t="shared" si="109"/>
        <v>0</v>
      </c>
    </row>
    <row r="273" spans="1:22" ht="35.25" x14ac:dyDescent="0.5">
      <c r="A273">
        <v>1</v>
      </c>
      <c r="B273" s="223">
        <f>SUBTOTAL(9,$A$198:A273)</f>
        <v>73</v>
      </c>
      <c r="C273" s="225" t="s">
        <v>403</v>
      </c>
      <c r="D273" s="238"/>
      <c r="E273" s="216">
        <v>2002</v>
      </c>
      <c r="F273" s="216" t="s">
        <v>419</v>
      </c>
      <c r="G273" s="216">
        <v>9</v>
      </c>
      <c r="H273" s="216" t="s">
        <v>326</v>
      </c>
      <c r="I273" s="217">
        <v>7443.3</v>
      </c>
      <c r="J273" s="217">
        <v>6248.1</v>
      </c>
      <c r="K273" s="218">
        <v>304</v>
      </c>
      <c r="L273" s="216" t="s">
        <v>417</v>
      </c>
      <c r="M273" s="216" t="s">
        <v>426</v>
      </c>
      <c r="N273" s="219" t="s">
        <v>483</v>
      </c>
      <c r="O273" s="221">
        <v>12489844.5</v>
      </c>
      <c r="P273" s="221">
        <v>0</v>
      </c>
      <c r="Q273" s="221">
        <v>0</v>
      </c>
      <c r="R273" s="221">
        <v>0</v>
      </c>
      <c r="S273" s="221">
        <f t="shared" si="104"/>
        <v>12489844.5</v>
      </c>
      <c r="T273" s="221">
        <f t="shared" si="110"/>
        <v>1677.9982668977468</v>
      </c>
      <c r="U273" s="221">
        <v>1677.9982668977468</v>
      </c>
      <c r="V273" s="27">
        <f t="shared" si="109"/>
        <v>0</v>
      </c>
    </row>
    <row r="274" spans="1:22" ht="35.25" x14ac:dyDescent="0.5">
      <c r="A274">
        <v>1</v>
      </c>
      <c r="B274" s="223">
        <f>SUBTOTAL(9,$A$198:A274)</f>
        <v>74</v>
      </c>
      <c r="C274" s="225" t="s">
        <v>395</v>
      </c>
      <c r="D274" s="238"/>
      <c r="E274" s="216">
        <v>1973</v>
      </c>
      <c r="F274" s="216" t="s">
        <v>419</v>
      </c>
      <c r="G274" s="216">
        <v>5</v>
      </c>
      <c r="H274" s="216" t="s">
        <v>320</v>
      </c>
      <c r="I274" s="217">
        <v>7803.4</v>
      </c>
      <c r="J274" s="217">
        <v>5998.8</v>
      </c>
      <c r="K274" s="218">
        <v>256</v>
      </c>
      <c r="L274" s="216" t="s">
        <v>417</v>
      </c>
      <c r="M274" s="216" t="s">
        <v>423</v>
      </c>
      <c r="N274" s="219" t="s">
        <v>479</v>
      </c>
      <c r="O274" s="221">
        <v>26150690.600000001</v>
      </c>
      <c r="P274" s="221">
        <v>0</v>
      </c>
      <c r="Q274" s="221">
        <v>0</v>
      </c>
      <c r="R274" s="221">
        <v>0</v>
      </c>
      <c r="S274" s="221">
        <f t="shared" si="104"/>
        <v>26150690.600000001</v>
      </c>
      <c r="T274" s="221">
        <v>3351.1918650844505</v>
      </c>
      <c r="U274" s="221">
        <v>3414.24</v>
      </c>
      <c r="V274" s="27">
        <f t="shared" si="109"/>
        <v>0</v>
      </c>
    </row>
    <row r="275" spans="1:22" ht="35.25" x14ac:dyDescent="0.5">
      <c r="A275">
        <v>1</v>
      </c>
      <c r="B275" s="223">
        <f>SUBTOTAL(9,$A$198:A275)</f>
        <v>75</v>
      </c>
      <c r="C275" s="225" t="s">
        <v>388</v>
      </c>
      <c r="D275" s="238"/>
      <c r="E275" s="216">
        <v>1968</v>
      </c>
      <c r="F275" s="216" t="s">
        <v>419</v>
      </c>
      <c r="G275" s="216">
        <v>5</v>
      </c>
      <c r="H275" s="216" t="s">
        <v>323</v>
      </c>
      <c r="I275" s="217">
        <v>5817.61</v>
      </c>
      <c r="J275" s="217">
        <v>4120.28</v>
      </c>
      <c r="K275" s="218">
        <v>260</v>
      </c>
      <c r="L275" s="216" t="s">
        <v>417</v>
      </c>
      <c r="M275" s="216" t="s">
        <v>423</v>
      </c>
      <c r="N275" s="219" t="s">
        <v>475</v>
      </c>
      <c r="O275" s="221">
        <v>18706376.049999997</v>
      </c>
      <c r="P275" s="221">
        <v>0</v>
      </c>
      <c r="Q275" s="221">
        <v>0</v>
      </c>
      <c r="R275" s="221">
        <v>0</v>
      </c>
      <c r="S275" s="221">
        <f t="shared" si="104"/>
        <v>18706376.049999997</v>
      </c>
      <c r="T275" s="221">
        <v>3215.4744044375607</v>
      </c>
      <c r="U275" s="221">
        <v>3275.97</v>
      </c>
      <c r="V275" s="27">
        <f t="shared" si="109"/>
        <v>0</v>
      </c>
    </row>
    <row r="276" spans="1:22" ht="35.25" x14ac:dyDescent="0.5">
      <c r="A276">
        <v>1</v>
      </c>
      <c r="B276" s="223">
        <f>SUBTOTAL(9,$A$198:A276)</f>
        <v>76</v>
      </c>
      <c r="C276" s="225" t="s">
        <v>783</v>
      </c>
      <c r="D276" s="238"/>
      <c r="E276" s="216">
        <v>1982</v>
      </c>
      <c r="F276" s="216" t="s">
        <v>419</v>
      </c>
      <c r="G276" s="216">
        <v>5</v>
      </c>
      <c r="H276" s="216">
        <v>6</v>
      </c>
      <c r="I276" s="217">
        <v>4676.6000000000004</v>
      </c>
      <c r="J276" s="217">
        <v>4489.5</v>
      </c>
      <c r="K276" s="218">
        <v>185</v>
      </c>
      <c r="L276" s="216" t="s">
        <v>417</v>
      </c>
      <c r="M276" s="216" t="s">
        <v>423</v>
      </c>
      <c r="N276" s="219" t="s">
        <v>476</v>
      </c>
      <c r="O276" s="221">
        <v>15021683.1</v>
      </c>
      <c r="P276" s="221">
        <v>0</v>
      </c>
      <c r="Q276" s="221">
        <v>0</v>
      </c>
      <c r="R276" s="221">
        <v>0</v>
      </c>
      <c r="S276" s="221">
        <f t="shared" si="104"/>
        <v>15021683.1</v>
      </c>
      <c r="T276" s="221">
        <v>3215.4744044375607</v>
      </c>
      <c r="U276" s="221">
        <f>T276</f>
        <v>3215.4744044375607</v>
      </c>
      <c r="V276" s="27">
        <f t="shared" si="109"/>
        <v>0</v>
      </c>
    </row>
    <row r="277" spans="1:22" s="59" customFormat="1" ht="35.25" x14ac:dyDescent="0.5">
      <c r="B277" s="215" t="s">
        <v>415</v>
      </c>
      <c r="C277" s="222"/>
      <c r="D277" s="216" t="s">
        <v>422</v>
      </c>
      <c r="E277" s="216" t="s">
        <v>422</v>
      </c>
      <c r="F277" s="216" t="s">
        <v>422</v>
      </c>
      <c r="G277" s="216" t="s">
        <v>422</v>
      </c>
      <c r="H277" s="216" t="s">
        <v>422</v>
      </c>
      <c r="I277" s="217">
        <f>I278+I279</f>
        <v>21277.5</v>
      </c>
      <c r="J277" s="217">
        <f t="shared" ref="J277:K277" si="111">J278+J279</f>
        <v>18916.900000000001</v>
      </c>
      <c r="K277" s="218">
        <f t="shared" si="111"/>
        <v>829</v>
      </c>
      <c r="L277" s="216" t="s">
        <v>422</v>
      </c>
      <c r="M277" s="216" t="s">
        <v>422</v>
      </c>
      <c r="N277" s="219" t="s">
        <v>422</v>
      </c>
      <c r="O277" s="221">
        <f>O278+O279</f>
        <v>50610672.200000003</v>
      </c>
      <c r="P277" s="221">
        <f t="shared" ref="P277:S277" si="112">P278+P279</f>
        <v>0</v>
      </c>
      <c r="Q277" s="221">
        <f t="shared" si="112"/>
        <v>0</v>
      </c>
      <c r="R277" s="221">
        <f t="shared" si="112"/>
        <v>0</v>
      </c>
      <c r="S277" s="221">
        <f t="shared" si="112"/>
        <v>50610672.200000003</v>
      </c>
      <c r="T277" s="221">
        <f t="shared" si="110"/>
        <v>2378.6005028786276</v>
      </c>
      <c r="U277" s="221">
        <f>MAX(U278:U279)</f>
        <v>9239.7999999999993</v>
      </c>
      <c r="V277" s="27">
        <f t="shared" si="109"/>
        <v>0</v>
      </c>
    </row>
    <row r="278" spans="1:22" ht="35.25" x14ac:dyDescent="0.5">
      <c r="A278">
        <v>1</v>
      </c>
      <c r="B278" s="223">
        <f>SUBTOTAL(9,$A$198:A278)</f>
        <v>77</v>
      </c>
      <c r="C278" s="225" t="s">
        <v>154</v>
      </c>
      <c r="D278" s="216"/>
      <c r="E278" s="216">
        <v>1978</v>
      </c>
      <c r="F278" s="216" t="s">
        <v>420</v>
      </c>
      <c r="G278" s="216">
        <v>9</v>
      </c>
      <c r="H278" s="216" t="s">
        <v>321</v>
      </c>
      <c r="I278" s="217">
        <v>8704.6</v>
      </c>
      <c r="J278" s="217">
        <v>7675.4</v>
      </c>
      <c r="K278" s="218">
        <v>343</v>
      </c>
      <c r="L278" s="216" t="s">
        <v>417</v>
      </c>
      <c r="M278" s="216" t="s">
        <v>423</v>
      </c>
      <c r="N278" s="219" t="s">
        <v>436</v>
      </c>
      <c r="O278" s="221">
        <v>33957546.200000003</v>
      </c>
      <c r="P278" s="221">
        <v>0</v>
      </c>
      <c r="Q278" s="221">
        <v>0</v>
      </c>
      <c r="R278" s="221">
        <v>0</v>
      </c>
      <c r="S278" s="221">
        <f>O278-P278-Q278-R278</f>
        <v>33957546.200000003</v>
      </c>
      <c r="T278" s="221">
        <f t="shared" si="110"/>
        <v>3901.1035774188363</v>
      </c>
      <c r="U278" s="221">
        <v>9239.7999999999993</v>
      </c>
      <c r="V278" s="27">
        <f t="shared" si="109"/>
        <v>0</v>
      </c>
    </row>
    <row r="279" spans="1:22" ht="35.25" x14ac:dyDescent="0.5">
      <c r="A279">
        <v>1</v>
      </c>
      <c r="B279" s="223">
        <f>SUBTOTAL(9,$A$198:A279)</f>
        <v>78</v>
      </c>
      <c r="C279" s="225" t="s">
        <v>155</v>
      </c>
      <c r="D279" s="216"/>
      <c r="E279" s="216">
        <v>2003</v>
      </c>
      <c r="F279" s="216" t="s">
        <v>420</v>
      </c>
      <c r="G279" s="216">
        <v>10</v>
      </c>
      <c r="H279" s="216" t="s">
        <v>321</v>
      </c>
      <c r="I279" s="217">
        <v>12572.9</v>
      </c>
      <c r="J279" s="217">
        <v>11241.5</v>
      </c>
      <c r="K279" s="218">
        <v>486</v>
      </c>
      <c r="L279" s="216" t="s">
        <v>417</v>
      </c>
      <c r="M279" s="216" t="s">
        <v>423</v>
      </c>
      <c r="N279" s="219" t="s">
        <v>436</v>
      </c>
      <c r="O279" s="221">
        <v>16653126</v>
      </c>
      <c r="P279" s="221">
        <v>0</v>
      </c>
      <c r="Q279" s="221">
        <v>0</v>
      </c>
      <c r="R279" s="221">
        <v>0</v>
      </c>
      <c r="S279" s="221">
        <f t="shared" ref="S279" si="113">O279-P279-Q279-R279</f>
        <v>16653126</v>
      </c>
      <c r="T279" s="221">
        <f t="shared" si="110"/>
        <v>1324.5254475896572</v>
      </c>
      <c r="U279" s="221">
        <v>1324.53</v>
      </c>
      <c r="V279" s="27">
        <f t="shared" si="109"/>
        <v>0</v>
      </c>
    </row>
    <row r="280" spans="1:22" ht="35.25" x14ac:dyDescent="0.5">
      <c r="B280" s="236" t="s">
        <v>676</v>
      </c>
      <c r="C280" s="236"/>
      <c r="D280" s="216" t="s">
        <v>422</v>
      </c>
      <c r="E280" s="216" t="s">
        <v>422</v>
      </c>
      <c r="F280" s="216" t="s">
        <v>422</v>
      </c>
      <c r="G280" s="216" t="s">
        <v>422</v>
      </c>
      <c r="H280" s="216" t="s">
        <v>422</v>
      </c>
      <c r="I280" s="217">
        <f>SUM(I281:I295)</f>
        <v>55078.29</v>
      </c>
      <c r="J280" s="217">
        <f t="shared" ref="J280:K280" si="114">SUM(J281:J295)</f>
        <v>45556.369999999995</v>
      </c>
      <c r="K280" s="218">
        <f t="shared" si="114"/>
        <v>2201</v>
      </c>
      <c r="L280" s="216" t="s">
        <v>422</v>
      </c>
      <c r="M280" s="216" t="s">
        <v>422</v>
      </c>
      <c r="N280" s="219" t="s">
        <v>422</v>
      </c>
      <c r="O280" s="220">
        <f>SUM(O281:O295)</f>
        <v>180300665.99000001</v>
      </c>
      <c r="P280" s="220">
        <f t="shared" ref="P280:S280" si="115">SUM(P281:P295)</f>
        <v>0</v>
      </c>
      <c r="Q280" s="220">
        <f t="shared" si="115"/>
        <v>0</v>
      </c>
      <c r="R280" s="220">
        <f t="shared" si="115"/>
        <v>0</v>
      </c>
      <c r="S280" s="220">
        <f t="shared" si="115"/>
        <v>180300665.99000001</v>
      </c>
      <c r="T280" s="221">
        <f t="shared" si="110"/>
        <v>3273.5341999542834</v>
      </c>
      <c r="U280" s="221">
        <f>MAX(U281:U295)</f>
        <v>14504.26</v>
      </c>
      <c r="V280" s="27">
        <f t="shared" si="109"/>
        <v>0</v>
      </c>
    </row>
    <row r="281" spans="1:22" ht="35.25" x14ac:dyDescent="0.5">
      <c r="A281">
        <v>1</v>
      </c>
      <c r="B281" s="223">
        <f>SUBTOTAL(9,$A$198:A281)</f>
        <v>79</v>
      </c>
      <c r="C281" s="225" t="s">
        <v>327</v>
      </c>
      <c r="D281" s="238"/>
      <c r="E281" s="216">
        <v>1978</v>
      </c>
      <c r="F281" s="216" t="s">
        <v>419</v>
      </c>
      <c r="G281" s="216">
        <v>5</v>
      </c>
      <c r="H281" s="216" t="s">
        <v>321</v>
      </c>
      <c r="I281" s="217">
        <v>3923</v>
      </c>
      <c r="J281" s="217">
        <v>3923</v>
      </c>
      <c r="K281" s="218">
        <v>141</v>
      </c>
      <c r="L281" s="216" t="s">
        <v>417</v>
      </c>
      <c r="M281" s="216" t="s">
        <v>423</v>
      </c>
      <c r="N281" s="219" t="s">
        <v>499</v>
      </c>
      <c r="O281" s="221">
        <v>13580017.5</v>
      </c>
      <c r="P281" s="221">
        <v>0</v>
      </c>
      <c r="Q281" s="221">
        <v>0</v>
      </c>
      <c r="R281" s="221">
        <v>0</v>
      </c>
      <c r="S281" s="221">
        <f t="shared" ref="S281:S291" si="116">O281-P281-Q281-R281</f>
        <v>13580017.5</v>
      </c>
      <c r="T281" s="221">
        <f t="shared" si="110"/>
        <v>3461.6409635483051</v>
      </c>
      <c r="U281" s="221">
        <v>3461.64</v>
      </c>
      <c r="V281" s="27">
        <f t="shared" si="109"/>
        <v>0</v>
      </c>
    </row>
    <row r="282" spans="1:22" ht="35.25" x14ac:dyDescent="0.5">
      <c r="A282">
        <v>1</v>
      </c>
      <c r="B282" s="223">
        <f>SUBTOTAL(9,$A$198:A282)</f>
        <v>80</v>
      </c>
      <c r="C282" s="225" t="s">
        <v>341</v>
      </c>
      <c r="D282" s="238"/>
      <c r="E282" s="216">
        <v>1970</v>
      </c>
      <c r="F282" s="216" t="s">
        <v>419</v>
      </c>
      <c r="G282" s="216">
        <v>5</v>
      </c>
      <c r="H282" s="216" t="s">
        <v>321</v>
      </c>
      <c r="I282" s="217">
        <v>2825.52</v>
      </c>
      <c r="J282" s="217">
        <v>2825.52</v>
      </c>
      <c r="K282" s="218">
        <v>107</v>
      </c>
      <c r="L282" s="216" t="s">
        <v>417</v>
      </c>
      <c r="M282" s="216" t="s">
        <v>423</v>
      </c>
      <c r="N282" s="219" t="s">
        <v>494</v>
      </c>
      <c r="O282" s="221">
        <v>15131855.92</v>
      </c>
      <c r="P282" s="221">
        <v>0</v>
      </c>
      <c r="Q282" s="221">
        <v>0</v>
      </c>
      <c r="R282" s="221">
        <v>0</v>
      </c>
      <c r="S282" s="221">
        <f t="shared" si="116"/>
        <v>15131855.92</v>
      </c>
      <c r="T282" s="221">
        <f t="shared" si="110"/>
        <v>5355.4233981709558</v>
      </c>
      <c r="U282" s="221">
        <v>5456.18</v>
      </c>
      <c r="V282" s="27">
        <f t="shared" si="109"/>
        <v>0</v>
      </c>
    </row>
    <row r="283" spans="1:22" ht="35.25" x14ac:dyDescent="0.5">
      <c r="A283">
        <v>1</v>
      </c>
      <c r="B283" s="223">
        <f>SUBTOTAL(9,$A$198:A283)</f>
        <v>81</v>
      </c>
      <c r="C283" s="225" t="s">
        <v>325</v>
      </c>
      <c r="D283" s="238"/>
      <c r="E283" s="216">
        <v>1972</v>
      </c>
      <c r="F283" s="216" t="s">
        <v>420</v>
      </c>
      <c r="G283" s="216">
        <v>5</v>
      </c>
      <c r="H283" s="216" t="s">
        <v>323</v>
      </c>
      <c r="I283" s="217">
        <v>4372.0600000000004</v>
      </c>
      <c r="J283" s="217">
        <v>3951.06</v>
      </c>
      <c r="K283" s="218">
        <v>208</v>
      </c>
      <c r="L283" s="216" t="s">
        <v>417</v>
      </c>
      <c r="M283" s="216" t="s">
        <v>423</v>
      </c>
      <c r="N283" s="219" t="s">
        <v>493</v>
      </c>
      <c r="O283" s="221">
        <v>18753357.5</v>
      </c>
      <c r="P283" s="221">
        <v>0</v>
      </c>
      <c r="Q283" s="221">
        <v>0</v>
      </c>
      <c r="R283" s="221">
        <v>0</v>
      </c>
      <c r="S283" s="221">
        <f t="shared" si="116"/>
        <v>18753357.5</v>
      </c>
      <c r="T283" s="221">
        <f t="shared" si="110"/>
        <v>4289.3641670059415</v>
      </c>
      <c r="U283" s="221">
        <v>4289.3599999999997</v>
      </c>
      <c r="V283" s="27">
        <f t="shared" si="109"/>
        <v>0</v>
      </c>
    </row>
    <row r="284" spans="1:22" ht="35.25" x14ac:dyDescent="0.5">
      <c r="A284">
        <v>1</v>
      </c>
      <c r="B284" s="223">
        <f>SUBTOTAL(9,$A$198:A284)</f>
        <v>82</v>
      </c>
      <c r="C284" s="225" t="s">
        <v>345</v>
      </c>
      <c r="D284" s="238"/>
      <c r="E284" s="216">
        <v>1966</v>
      </c>
      <c r="F284" s="216" t="s">
        <v>419</v>
      </c>
      <c r="G284" s="216">
        <v>5</v>
      </c>
      <c r="H284" s="216" t="s">
        <v>321</v>
      </c>
      <c r="I284" s="217">
        <v>2889</v>
      </c>
      <c r="J284" s="217">
        <v>2630.44</v>
      </c>
      <c r="K284" s="218">
        <v>182</v>
      </c>
      <c r="L284" s="216" t="s">
        <v>417</v>
      </c>
      <c r="M284" s="216" t="s">
        <v>423</v>
      </c>
      <c r="N284" s="219" t="s">
        <v>494</v>
      </c>
      <c r="O284" s="221">
        <v>11412364.49</v>
      </c>
      <c r="P284" s="221">
        <v>0</v>
      </c>
      <c r="Q284" s="221">
        <v>0</v>
      </c>
      <c r="R284" s="221">
        <v>0</v>
      </c>
      <c r="S284" s="221">
        <f t="shared" si="116"/>
        <v>11412364.49</v>
      </c>
      <c r="T284" s="221">
        <f t="shared" si="110"/>
        <v>3950.2819280027693</v>
      </c>
      <c r="U284" s="221">
        <v>4024.6</v>
      </c>
      <c r="V284" s="27">
        <f t="shared" si="109"/>
        <v>0</v>
      </c>
    </row>
    <row r="285" spans="1:22" ht="35.25" x14ac:dyDescent="0.5">
      <c r="A285">
        <v>1</v>
      </c>
      <c r="B285" s="223">
        <f>SUBTOTAL(9,$A$198:A285)</f>
        <v>83</v>
      </c>
      <c r="C285" s="225" t="s">
        <v>339</v>
      </c>
      <c r="D285" s="238"/>
      <c r="E285" s="216">
        <v>1970</v>
      </c>
      <c r="F285" s="216" t="s">
        <v>419</v>
      </c>
      <c r="G285" s="216">
        <v>5</v>
      </c>
      <c r="H285" s="216" t="s">
        <v>321</v>
      </c>
      <c r="I285" s="217">
        <v>3931.2</v>
      </c>
      <c r="J285" s="217">
        <v>2794.99</v>
      </c>
      <c r="K285" s="218">
        <v>208</v>
      </c>
      <c r="L285" s="216" t="s">
        <v>417</v>
      </c>
      <c r="M285" s="216" t="s">
        <v>423</v>
      </c>
      <c r="N285" s="219" t="s">
        <v>491</v>
      </c>
      <c r="O285" s="221">
        <v>12933350</v>
      </c>
      <c r="P285" s="221">
        <v>0</v>
      </c>
      <c r="Q285" s="221">
        <v>0</v>
      </c>
      <c r="R285" s="221">
        <v>0</v>
      </c>
      <c r="S285" s="221">
        <f t="shared" si="116"/>
        <v>12933350</v>
      </c>
      <c r="T285" s="221">
        <f t="shared" si="110"/>
        <v>3289.9241961741964</v>
      </c>
      <c r="U285" s="221">
        <v>3289.92</v>
      </c>
      <c r="V285" s="27">
        <f t="shared" si="109"/>
        <v>0</v>
      </c>
    </row>
    <row r="286" spans="1:22" ht="35.25" x14ac:dyDescent="0.5">
      <c r="A286">
        <v>1</v>
      </c>
      <c r="B286" s="223">
        <f>SUBTOTAL(9,$A$198:A286)</f>
        <v>84</v>
      </c>
      <c r="C286" s="225" t="s">
        <v>337</v>
      </c>
      <c r="D286" s="238"/>
      <c r="E286" s="216">
        <v>1984</v>
      </c>
      <c r="F286" s="216" t="s">
        <v>419</v>
      </c>
      <c r="G286" s="216">
        <v>2</v>
      </c>
      <c r="H286" s="216" t="s">
        <v>321</v>
      </c>
      <c r="I286" s="217">
        <v>1145.3</v>
      </c>
      <c r="J286" s="217">
        <v>645.70000000000005</v>
      </c>
      <c r="K286" s="218">
        <v>62</v>
      </c>
      <c r="L286" s="216" t="s">
        <v>417</v>
      </c>
      <c r="M286" s="216" t="s">
        <v>424</v>
      </c>
      <c r="N286" s="219" t="s">
        <v>425</v>
      </c>
      <c r="O286" s="221">
        <v>16304955.59</v>
      </c>
      <c r="P286" s="221">
        <v>0</v>
      </c>
      <c r="Q286" s="221">
        <v>0</v>
      </c>
      <c r="R286" s="221">
        <v>0</v>
      </c>
      <c r="S286" s="221">
        <f t="shared" si="116"/>
        <v>16304955.59</v>
      </c>
      <c r="T286" s="221">
        <f t="shared" si="110"/>
        <v>14236.405823801624</v>
      </c>
      <c r="U286" s="221">
        <v>14504.26</v>
      </c>
      <c r="V286" s="27">
        <f t="shared" si="109"/>
        <v>0</v>
      </c>
    </row>
    <row r="287" spans="1:22" ht="35.25" x14ac:dyDescent="0.5">
      <c r="A287">
        <v>1</v>
      </c>
      <c r="B287" s="223">
        <f>SUBTOTAL(9,$A$198:A287)</f>
        <v>85</v>
      </c>
      <c r="C287" s="225" t="s">
        <v>335</v>
      </c>
      <c r="D287" s="238"/>
      <c r="E287" s="216">
        <v>1987</v>
      </c>
      <c r="F287" s="216" t="s">
        <v>420</v>
      </c>
      <c r="G287" s="216">
        <v>5</v>
      </c>
      <c r="H287" s="216" t="s">
        <v>321</v>
      </c>
      <c r="I287" s="217">
        <v>4328.3</v>
      </c>
      <c r="J287" s="217">
        <v>3152.8</v>
      </c>
      <c r="K287" s="218">
        <v>151</v>
      </c>
      <c r="L287" s="216" t="s">
        <v>417</v>
      </c>
      <c r="M287" s="216" t="s">
        <v>423</v>
      </c>
      <c r="N287" s="219" t="s">
        <v>492</v>
      </c>
      <c r="O287" s="221">
        <v>11353153.299999999</v>
      </c>
      <c r="P287" s="221">
        <v>0</v>
      </c>
      <c r="Q287" s="221">
        <v>0</v>
      </c>
      <c r="R287" s="221">
        <v>0</v>
      </c>
      <c r="S287" s="221">
        <f t="shared" si="116"/>
        <v>11353153.299999999</v>
      </c>
      <c r="T287" s="221">
        <f t="shared" si="110"/>
        <v>2623.0051752420113</v>
      </c>
      <c r="U287" s="221">
        <v>2623.01</v>
      </c>
      <c r="V287" s="27">
        <f t="shared" si="109"/>
        <v>0</v>
      </c>
    </row>
    <row r="288" spans="1:22" ht="35.25" x14ac:dyDescent="0.5">
      <c r="A288">
        <v>1</v>
      </c>
      <c r="B288" s="223">
        <f>SUBTOTAL(9,$A$198:A288)</f>
        <v>86</v>
      </c>
      <c r="C288" s="225" t="s">
        <v>332</v>
      </c>
      <c r="D288" s="238"/>
      <c r="E288" s="216">
        <v>1985</v>
      </c>
      <c r="F288" s="216" t="s">
        <v>420</v>
      </c>
      <c r="G288" s="216">
        <v>5</v>
      </c>
      <c r="H288" s="216" t="s">
        <v>321</v>
      </c>
      <c r="I288" s="217">
        <v>4018.1</v>
      </c>
      <c r="J288" s="217">
        <v>2814.1</v>
      </c>
      <c r="K288" s="218">
        <v>111</v>
      </c>
      <c r="L288" s="216" t="s">
        <v>417</v>
      </c>
      <c r="M288" s="216" t="s">
        <v>423</v>
      </c>
      <c r="N288" s="219" t="s">
        <v>491</v>
      </c>
      <c r="O288" s="221">
        <v>11252014.5</v>
      </c>
      <c r="P288" s="221">
        <v>0</v>
      </c>
      <c r="Q288" s="221">
        <v>0</v>
      </c>
      <c r="R288" s="221">
        <v>0</v>
      </c>
      <c r="S288" s="221">
        <f t="shared" si="116"/>
        <v>11252014.5</v>
      </c>
      <c r="T288" s="221">
        <f t="shared" si="110"/>
        <v>2800.3321221472838</v>
      </c>
      <c r="U288" s="221">
        <v>2800.33</v>
      </c>
      <c r="V288" s="27">
        <f t="shared" si="109"/>
        <v>0</v>
      </c>
    </row>
    <row r="289" spans="1:22" ht="35.25" x14ac:dyDescent="0.5">
      <c r="A289">
        <v>1</v>
      </c>
      <c r="B289" s="223">
        <f>SUBTOTAL(9,$A$198:A289)</f>
        <v>87</v>
      </c>
      <c r="C289" s="225" t="s">
        <v>344</v>
      </c>
      <c r="D289" s="238"/>
      <c r="E289" s="216">
        <v>1969</v>
      </c>
      <c r="F289" s="216" t="s">
        <v>419</v>
      </c>
      <c r="G289" s="216">
        <v>5</v>
      </c>
      <c r="H289" s="216" t="s">
        <v>321</v>
      </c>
      <c r="I289" s="217">
        <v>3659.03</v>
      </c>
      <c r="J289" s="217">
        <v>3395.28</v>
      </c>
      <c r="K289" s="218">
        <v>91</v>
      </c>
      <c r="L289" s="216" t="s">
        <v>417</v>
      </c>
      <c r="M289" s="216" t="s">
        <v>423</v>
      </c>
      <c r="N289" s="219" t="s">
        <v>493</v>
      </c>
      <c r="O289" s="221">
        <v>11510681.5</v>
      </c>
      <c r="P289" s="221">
        <v>0</v>
      </c>
      <c r="Q289" s="221">
        <v>0</v>
      </c>
      <c r="R289" s="221">
        <v>0</v>
      </c>
      <c r="S289" s="221">
        <f t="shared" si="116"/>
        <v>11510681.5</v>
      </c>
      <c r="T289" s="221">
        <f t="shared" si="110"/>
        <v>3145.8286759059092</v>
      </c>
      <c r="U289" s="221">
        <v>3145.83</v>
      </c>
      <c r="V289" s="27">
        <f t="shared" si="109"/>
        <v>0</v>
      </c>
    </row>
    <row r="290" spans="1:22" ht="35.25" x14ac:dyDescent="0.5">
      <c r="A290">
        <v>1</v>
      </c>
      <c r="B290" s="223">
        <f>SUBTOTAL(9,$A$198:A290)</f>
        <v>88</v>
      </c>
      <c r="C290" s="225" t="s">
        <v>328</v>
      </c>
      <c r="D290" s="238"/>
      <c r="E290" s="216">
        <v>2001</v>
      </c>
      <c r="F290" s="216" t="s">
        <v>420</v>
      </c>
      <c r="G290" s="216">
        <v>9</v>
      </c>
      <c r="H290" s="216" t="s">
        <v>319</v>
      </c>
      <c r="I290" s="217">
        <v>4952.99</v>
      </c>
      <c r="J290" s="217">
        <v>3715.7</v>
      </c>
      <c r="K290" s="218">
        <v>187</v>
      </c>
      <c r="L290" s="216" t="s">
        <v>417</v>
      </c>
      <c r="M290" s="216" t="s">
        <v>423</v>
      </c>
      <c r="N290" s="219" t="s">
        <v>491</v>
      </c>
      <c r="O290" s="221">
        <v>8326563</v>
      </c>
      <c r="P290" s="221">
        <v>0</v>
      </c>
      <c r="Q290" s="221">
        <v>0</v>
      </c>
      <c r="R290" s="221">
        <v>0</v>
      </c>
      <c r="S290" s="221">
        <f t="shared" si="116"/>
        <v>8326563</v>
      </c>
      <c r="T290" s="221">
        <f t="shared" si="110"/>
        <v>1681.1184759105106</v>
      </c>
      <c r="U290" s="221">
        <v>1681.12</v>
      </c>
      <c r="V290" s="27">
        <f t="shared" si="109"/>
        <v>0</v>
      </c>
    </row>
    <row r="291" spans="1:22" ht="35.25" x14ac:dyDescent="0.5">
      <c r="A291">
        <v>1</v>
      </c>
      <c r="B291" s="223">
        <f>SUBTOTAL(9,$A$198:A291)</f>
        <v>89</v>
      </c>
      <c r="C291" s="225" t="s">
        <v>329</v>
      </c>
      <c r="D291" s="238"/>
      <c r="E291" s="216">
        <v>1999</v>
      </c>
      <c r="F291" s="216" t="s">
        <v>419</v>
      </c>
      <c r="G291" s="216">
        <v>9</v>
      </c>
      <c r="H291" s="216" t="s">
        <v>326</v>
      </c>
      <c r="I291" s="217">
        <v>6506.1</v>
      </c>
      <c r="J291" s="217">
        <v>6385.6</v>
      </c>
      <c r="K291" s="218">
        <v>304</v>
      </c>
      <c r="L291" s="216" t="s">
        <v>417</v>
      </c>
      <c r="M291" s="216" t="s">
        <v>423</v>
      </c>
      <c r="N291" s="219" t="s">
        <v>494</v>
      </c>
      <c r="O291" s="221">
        <v>8326563</v>
      </c>
      <c r="P291" s="221">
        <v>0</v>
      </c>
      <c r="Q291" s="221">
        <v>0</v>
      </c>
      <c r="R291" s="221">
        <v>0</v>
      </c>
      <c r="S291" s="221">
        <f t="shared" si="116"/>
        <v>8326563</v>
      </c>
      <c r="T291" s="221">
        <f t="shared" si="110"/>
        <v>1279.808641121409</v>
      </c>
      <c r="U291" s="221">
        <v>1279.81</v>
      </c>
      <c r="V291" s="27">
        <f t="shared" si="109"/>
        <v>0</v>
      </c>
    </row>
    <row r="292" spans="1:22" ht="35.25" x14ac:dyDescent="0.5">
      <c r="A292">
        <v>1</v>
      </c>
      <c r="B292" s="223">
        <f>SUBTOTAL(9,$A$198:A292)</f>
        <v>90</v>
      </c>
      <c r="C292" s="225" t="s">
        <v>351</v>
      </c>
      <c r="D292" s="238"/>
      <c r="E292" s="216">
        <v>1989</v>
      </c>
      <c r="F292" s="216" t="s">
        <v>420</v>
      </c>
      <c r="G292" s="216">
        <v>2</v>
      </c>
      <c r="H292" s="216" t="s">
        <v>319</v>
      </c>
      <c r="I292" s="217">
        <v>1426</v>
      </c>
      <c r="J292" s="217">
        <v>567.20000000000005</v>
      </c>
      <c r="K292" s="218">
        <v>32</v>
      </c>
      <c r="L292" s="216" t="s">
        <v>417</v>
      </c>
      <c r="M292" s="216" t="s">
        <v>423</v>
      </c>
      <c r="N292" s="219" t="s">
        <v>500</v>
      </c>
      <c r="O292" s="221">
        <v>5009253.6399999997</v>
      </c>
      <c r="P292" s="221">
        <v>0</v>
      </c>
      <c r="Q292" s="221">
        <v>0</v>
      </c>
      <c r="R292" s="221">
        <v>0</v>
      </c>
      <c r="S292" s="221">
        <f>O292-P292-Q292-R292</f>
        <v>5009253.6399999997</v>
      </c>
      <c r="T292" s="221">
        <f t="shared" si="110"/>
        <v>3512.8005890603085</v>
      </c>
      <c r="U292" s="221">
        <v>3578.89</v>
      </c>
      <c r="V292" s="27">
        <f t="shared" si="109"/>
        <v>0</v>
      </c>
    </row>
    <row r="293" spans="1:22" ht="35.25" x14ac:dyDescent="0.5">
      <c r="A293">
        <v>1</v>
      </c>
      <c r="B293" s="223">
        <f>SUBTOTAL(9,$A$198:A293)</f>
        <v>91</v>
      </c>
      <c r="C293" s="225" t="s">
        <v>350</v>
      </c>
      <c r="D293" s="238"/>
      <c r="E293" s="216">
        <v>1964</v>
      </c>
      <c r="F293" s="216" t="s">
        <v>419</v>
      </c>
      <c r="G293" s="216">
        <v>2</v>
      </c>
      <c r="H293" s="216" t="s">
        <v>319</v>
      </c>
      <c r="I293" s="217">
        <v>672.5</v>
      </c>
      <c r="J293" s="217">
        <v>353</v>
      </c>
      <c r="K293" s="218">
        <v>18</v>
      </c>
      <c r="L293" s="216" t="s">
        <v>417</v>
      </c>
      <c r="M293" s="216" t="s">
        <v>423</v>
      </c>
      <c r="N293" s="219" t="s">
        <v>500</v>
      </c>
      <c r="O293" s="221">
        <v>4651014.57</v>
      </c>
      <c r="P293" s="221">
        <v>0</v>
      </c>
      <c r="Q293" s="221">
        <v>0</v>
      </c>
      <c r="R293" s="221">
        <v>0</v>
      </c>
      <c r="S293" s="221">
        <f>O293-P293-Q293-R293</f>
        <v>4651014.57</v>
      </c>
      <c r="T293" s="221">
        <f t="shared" si="110"/>
        <v>6916.0067955390341</v>
      </c>
      <c r="U293" s="221">
        <v>7046.13</v>
      </c>
      <c r="V293" s="27">
        <f t="shared" si="109"/>
        <v>0</v>
      </c>
    </row>
    <row r="294" spans="1:22" ht="35.25" x14ac:dyDescent="0.5">
      <c r="A294">
        <v>1</v>
      </c>
      <c r="B294" s="223">
        <f>SUBTOTAL(9,$A$198:A294)</f>
        <v>92</v>
      </c>
      <c r="C294" s="225" t="s">
        <v>360</v>
      </c>
      <c r="D294" s="238"/>
      <c r="E294" s="216">
        <v>2000</v>
      </c>
      <c r="F294" s="216" t="s">
        <v>419</v>
      </c>
      <c r="G294" s="216">
        <v>5</v>
      </c>
      <c r="H294" s="216" t="s">
        <v>323</v>
      </c>
      <c r="I294" s="217">
        <v>5757.29</v>
      </c>
      <c r="J294" s="217">
        <v>4336.29</v>
      </c>
      <c r="K294" s="218">
        <v>177</v>
      </c>
      <c r="L294" s="216" t="s">
        <v>417</v>
      </c>
      <c r="M294" s="216" t="s">
        <v>423</v>
      </c>
      <c r="N294" s="219" t="s">
        <v>497</v>
      </c>
      <c r="O294" s="221">
        <v>22853164.68</v>
      </c>
      <c r="P294" s="221">
        <v>0</v>
      </c>
      <c r="Q294" s="221">
        <v>0</v>
      </c>
      <c r="R294" s="221">
        <v>0</v>
      </c>
      <c r="S294" s="221">
        <f>O294-P294-Q294-R294</f>
        <v>22853164.68</v>
      </c>
      <c r="T294" s="221">
        <f t="shared" si="110"/>
        <v>3969.4308745955127</v>
      </c>
      <c r="U294" s="221">
        <v>4044.11</v>
      </c>
      <c r="V294" s="27">
        <f t="shared" si="109"/>
        <v>0</v>
      </c>
    </row>
    <row r="295" spans="1:22" ht="35.25" x14ac:dyDescent="0.5">
      <c r="A295">
        <v>1</v>
      </c>
      <c r="B295" s="223">
        <f>SUBTOTAL(9,$A$198:A295)</f>
        <v>93</v>
      </c>
      <c r="C295" s="225" t="s">
        <v>361</v>
      </c>
      <c r="D295" s="238"/>
      <c r="E295" s="216">
        <v>1990</v>
      </c>
      <c r="F295" s="216" t="s">
        <v>419</v>
      </c>
      <c r="G295" s="216">
        <v>5</v>
      </c>
      <c r="H295" s="216" t="s">
        <v>323</v>
      </c>
      <c r="I295" s="217">
        <v>4671.8999999999996</v>
      </c>
      <c r="J295" s="217">
        <v>4065.69</v>
      </c>
      <c r="K295" s="218">
        <v>222</v>
      </c>
      <c r="L295" s="216" t="s">
        <v>417</v>
      </c>
      <c r="M295" s="216" t="s">
        <v>423</v>
      </c>
      <c r="N295" s="219" t="s">
        <v>496</v>
      </c>
      <c r="O295" s="221">
        <v>8902356.7999999989</v>
      </c>
      <c r="P295" s="221">
        <v>0</v>
      </c>
      <c r="Q295" s="221">
        <v>0</v>
      </c>
      <c r="R295" s="221">
        <v>0</v>
      </c>
      <c r="S295" s="221">
        <f>O295-P295-Q295-R295</f>
        <v>8902356.7999999989</v>
      </c>
      <c r="T295" s="221">
        <f t="shared" si="110"/>
        <v>1905.5109912455316</v>
      </c>
      <c r="U295" s="221">
        <v>2189.63</v>
      </c>
      <c r="V295" s="27">
        <f t="shared" si="109"/>
        <v>0</v>
      </c>
    </row>
    <row r="296" spans="1:22" ht="35.25" x14ac:dyDescent="0.5">
      <c r="B296" s="236" t="s">
        <v>502</v>
      </c>
      <c r="C296" s="236"/>
      <c r="D296" s="216" t="s">
        <v>422</v>
      </c>
      <c r="E296" s="216" t="s">
        <v>422</v>
      </c>
      <c r="F296" s="216" t="s">
        <v>422</v>
      </c>
      <c r="G296" s="216" t="s">
        <v>422</v>
      </c>
      <c r="H296" s="216" t="s">
        <v>422</v>
      </c>
      <c r="I296" s="217">
        <f>I297+I298+I299+I300</f>
        <v>17258.099999999999</v>
      </c>
      <c r="J296" s="217">
        <f t="shared" ref="J296" si="117">J297+J298+J299+J300</f>
        <v>14810.9</v>
      </c>
      <c r="K296" s="218">
        <f>K297+K298+K299+K300</f>
        <v>911</v>
      </c>
      <c r="L296" s="216" t="s">
        <v>422</v>
      </c>
      <c r="M296" s="216" t="s">
        <v>422</v>
      </c>
      <c r="N296" s="219" t="s">
        <v>422</v>
      </c>
      <c r="O296" s="221">
        <f>O297+O298+O299+O300</f>
        <v>71465182.770000011</v>
      </c>
      <c r="P296" s="221">
        <f t="shared" ref="P296:S296" si="118">P297+P298+P299+P300</f>
        <v>0</v>
      </c>
      <c r="Q296" s="221">
        <f t="shared" si="118"/>
        <v>0</v>
      </c>
      <c r="R296" s="221">
        <f t="shared" si="118"/>
        <v>0</v>
      </c>
      <c r="S296" s="221">
        <f t="shared" si="118"/>
        <v>71465182.770000011</v>
      </c>
      <c r="T296" s="221">
        <f t="shared" si="110"/>
        <v>4140.9646931006318</v>
      </c>
      <c r="U296" s="221">
        <f>MAX(U297:U300)</f>
        <v>6726.65</v>
      </c>
      <c r="V296" s="27">
        <f t="shared" si="109"/>
        <v>0</v>
      </c>
    </row>
    <row r="297" spans="1:22" ht="35.25" x14ac:dyDescent="0.5">
      <c r="A297">
        <v>1</v>
      </c>
      <c r="B297" s="223">
        <f>SUBTOTAL(9,$A$198:A297)</f>
        <v>94</v>
      </c>
      <c r="C297" s="225" t="s">
        <v>379</v>
      </c>
      <c r="D297" s="238"/>
      <c r="E297" s="216">
        <v>1981</v>
      </c>
      <c r="F297" s="216" t="s">
        <v>419</v>
      </c>
      <c r="G297" s="216">
        <v>2</v>
      </c>
      <c r="H297" s="216" t="s">
        <v>319</v>
      </c>
      <c r="I297" s="217">
        <v>1067.0999999999999</v>
      </c>
      <c r="J297" s="217">
        <v>570.79999999999995</v>
      </c>
      <c r="K297" s="218">
        <v>12</v>
      </c>
      <c r="L297" s="216" t="s">
        <v>417</v>
      </c>
      <c r="M297" s="216" t="s">
        <v>424</v>
      </c>
      <c r="N297" s="219" t="s">
        <v>425</v>
      </c>
      <c r="O297" s="221">
        <v>7045453.0499999998</v>
      </c>
      <c r="P297" s="221">
        <v>0</v>
      </c>
      <c r="Q297" s="221">
        <v>0</v>
      </c>
      <c r="R297" s="221">
        <v>0</v>
      </c>
      <c r="S297" s="221">
        <f>O297-P297-Q297-R297</f>
        <v>7045453.0499999998</v>
      </c>
      <c r="T297" s="221">
        <f t="shared" si="110"/>
        <v>6602.4299971886421</v>
      </c>
      <c r="U297" s="221">
        <v>6726.65</v>
      </c>
      <c r="V297" s="27">
        <f t="shared" si="109"/>
        <v>0</v>
      </c>
    </row>
    <row r="298" spans="1:22" ht="35.25" x14ac:dyDescent="0.5">
      <c r="A298">
        <v>1</v>
      </c>
      <c r="B298" s="223">
        <f>SUBTOTAL(9,$A$198:A298)</f>
        <v>95</v>
      </c>
      <c r="C298" s="225" t="s">
        <v>368</v>
      </c>
      <c r="D298" s="238"/>
      <c r="E298" s="216">
        <v>1971</v>
      </c>
      <c r="F298" s="216" t="s">
        <v>419</v>
      </c>
      <c r="G298" s="216">
        <v>5</v>
      </c>
      <c r="H298" s="216" t="s">
        <v>317</v>
      </c>
      <c r="I298" s="217">
        <v>3969.6</v>
      </c>
      <c r="J298" s="217">
        <v>2732.6</v>
      </c>
      <c r="K298" s="218">
        <v>406</v>
      </c>
      <c r="L298" s="216" t="s">
        <v>417</v>
      </c>
      <c r="M298" s="216" t="s">
        <v>424</v>
      </c>
      <c r="N298" s="219" t="s">
        <v>425</v>
      </c>
      <c r="O298" s="221">
        <v>16502863</v>
      </c>
      <c r="P298" s="221">
        <v>0</v>
      </c>
      <c r="Q298" s="221">
        <v>0</v>
      </c>
      <c r="R298" s="221">
        <v>0</v>
      </c>
      <c r="S298" s="221">
        <f>O298-P298-Q298-R298</f>
        <v>16502863</v>
      </c>
      <c r="T298" s="221">
        <f t="shared" si="110"/>
        <v>4157.3113160016128</v>
      </c>
      <c r="U298" s="221">
        <v>4235.53</v>
      </c>
      <c r="V298" s="27">
        <f t="shared" si="109"/>
        <v>0</v>
      </c>
    </row>
    <row r="299" spans="1:22" ht="35.25" x14ac:dyDescent="0.5">
      <c r="A299">
        <v>1</v>
      </c>
      <c r="B299" s="223">
        <f>SUBTOTAL(9,$A$198:A299)</f>
        <v>96</v>
      </c>
      <c r="C299" s="225" t="s">
        <v>374</v>
      </c>
      <c r="D299" s="238"/>
      <c r="E299" s="216">
        <v>1981</v>
      </c>
      <c r="F299" s="216" t="s">
        <v>419</v>
      </c>
      <c r="G299" s="216">
        <v>2</v>
      </c>
      <c r="H299" s="216" t="s">
        <v>326</v>
      </c>
      <c r="I299" s="217">
        <v>1574.5</v>
      </c>
      <c r="J299" s="217">
        <v>860.6</v>
      </c>
      <c r="K299" s="218">
        <v>18</v>
      </c>
      <c r="L299" s="216" t="s">
        <v>417</v>
      </c>
      <c r="M299" s="216" t="s">
        <v>423</v>
      </c>
      <c r="N299" s="219" t="s">
        <v>511</v>
      </c>
      <c r="O299" s="221">
        <v>9901717.8000000007</v>
      </c>
      <c r="P299" s="221">
        <v>0</v>
      </c>
      <c r="Q299" s="221">
        <v>0</v>
      </c>
      <c r="R299" s="221">
        <v>0</v>
      </c>
      <c r="S299" s="221">
        <f>O299-P299-Q299-R299</f>
        <v>9901717.8000000007</v>
      </c>
      <c r="T299" s="221">
        <f t="shared" si="110"/>
        <v>6288.8013972689751</v>
      </c>
      <c r="U299" s="221">
        <v>6407.12</v>
      </c>
      <c r="V299" s="27">
        <f t="shared" si="109"/>
        <v>0</v>
      </c>
    </row>
    <row r="300" spans="1:22" ht="35.25" x14ac:dyDescent="0.5">
      <c r="A300">
        <v>1</v>
      </c>
      <c r="B300" s="223">
        <f>SUBTOTAL(9,$A$198:A300)</f>
        <v>97</v>
      </c>
      <c r="C300" s="225" t="s">
        <v>365</v>
      </c>
      <c r="D300" s="238"/>
      <c r="E300" s="216">
        <v>1977</v>
      </c>
      <c r="F300" s="216" t="s">
        <v>419</v>
      </c>
      <c r="G300" s="216">
        <v>5</v>
      </c>
      <c r="H300" s="216" t="s">
        <v>509</v>
      </c>
      <c r="I300" s="217">
        <v>10646.9</v>
      </c>
      <c r="J300" s="217">
        <v>10646.9</v>
      </c>
      <c r="K300" s="218">
        <v>475</v>
      </c>
      <c r="L300" s="216" t="s">
        <v>417</v>
      </c>
      <c r="M300" s="216" t="s">
        <v>423</v>
      </c>
      <c r="N300" s="219" t="s">
        <v>512</v>
      </c>
      <c r="O300" s="221">
        <v>38015148.920000002</v>
      </c>
      <c r="P300" s="221">
        <v>0</v>
      </c>
      <c r="Q300" s="221">
        <v>0</v>
      </c>
      <c r="R300" s="221">
        <v>0</v>
      </c>
      <c r="S300" s="221">
        <f>O300-P300-Q300-R300</f>
        <v>38015148.920000002</v>
      </c>
      <c r="T300" s="221">
        <f>O300/I300</f>
        <v>3570.5368623730856</v>
      </c>
      <c r="U300" s="221">
        <v>4008.68</v>
      </c>
      <c r="V300" s="27">
        <f t="shared" si="109"/>
        <v>0</v>
      </c>
    </row>
    <row r="301" spans="1:22" ht="35.25" x14ac:dyDescent="0.5">
      <c r="B301" s="236" t="s">
        <v>506</v>
      </c>
      <c r="C301" s="236"/>
      <c r="D301" s="216" t="s">
        <v>422</v>
      </c>
      <c r="E301" s="216" t="s">
        <v>422</v>
      </c>
      <c r="F301" s="216" t="s">
        <v>422</v>
      </c>
      <c r="G301" s="216" t="s">
        <v>422</v>
      </c>
      <c r="H301" s="216" t="s">
        <v>422</v>
      </c>
      <c r="I301" s="217">
        <f>I302</f>
        <v>706.3</v>
      </c>
      <c r="J301" s="217">
        <f t="shared" ref="J301:K301" si="119">J302</f>
        <v>461.2</v>
      </c>
      <c r="K301" s="218">
        <f t="shared" si="119"/>
        <v>42</v>
      </c>
      <c r="L301" s="216" t="s">
        <v>422</v>
      </c>
      <c r="M301" s="216" t="s">
        <v>422</v>
      </c>
      <c r="N301" s="219" t="s">
        <v>422</v>
      </c>
      <c r="O301" s="221">
        <v>7540538.9000000004</v>
      </c>
      <c r="P301" s="221">
        <f t="shared" ref="P301:S301" si="120">P302</f>
        <v>0</v>
      </c>
      <c r="Q301" s="221">
        <f t="shared" si="120"/>
        <v>0</v>
      </c>
      <c r="R301" s="221">
        <f t="shared" si="120"/>
        <v>0</v>
      </c>
      <c r="S301" s="221">
        <f t="shared" si="120"/>
        <v>7540538.9000000004</v>
      </c>
      <c r="T301" s="221">
        <f t="shared" si="110"/>
        <v>10676.113407900328</v>
      </c>
      <c r="U301" s="221">
        <f>U302</f>
        <v>10876.98</v>
      </c>
      <c r="V301" s="27">
        <f t="shared" si="109"/>
        <v>0</v>
      </c>
    </row>
    <row r="302" spans="1:22" ht="35.25" x14ac:dyDescent="0.5">
      <c r="A302">
        <v>1</v>
      </c>
      <c r="B302" s="223">
        <f>SUBTOTAL(9,$A$198:A302)</f>
        <v>98</v>
      </c>
      <c r="C302" s="225" t="s">
        <v>371</v>
      </c>
      <c r="D302" s="238"/>
      <c r="E302" s="216">
        <v>1973</v>
      </c>
      <c r="F302" s="216" t="s">
        <v>419</v>
      </c>
      <c r="G302" s="216">
        <v>2</v>
      </c>
      <c r="H302" s="216" t="s">
        <v>319</v>
      </c>
      <c r="I302" s="217">
        <v>706.3</v>
      </c>
      <c r="J302" s="217">
        <v>461.2</v>
      </c>
      <c r="K302" s="218">
        <v>42</v>
      </c>
      <c r="L302" s="216" t="s">
        <v>417</v>
      </c>
      <c r="M302" s="216" t="s">
        <v>424</v>
      </c>
      <c r="N302" s="219" t="s">
        <v>425</v>
      </c>
      <c r="O302" s="221">
        <v>7540538.9000000004</v>
      </c>
      <c r="P302" s="221">
        <v>0</v>
      </c>
      <c r="Q302" s="221">
        <v>0</v>
      </c>
      <c r="R302" s="221">
        <v>0</v>
      </c>
      <c r="S302" s="221">
        <f>O302-P302-Q302-R302</f>
        <v>7540538.9000000004</v>
      </c>
      <c r="T302" s="221">
        <f t="shared" si="110"/>
        <v>10676.113407900328</v>
      </c>
      <c r="U302" s="221">
        <v>10876.98</v>
      </c>
      <c r="V302" s="27">
        <f t="shared" si="109"/>
        <v>0</v>
      </c>
    </row>
    <row r="303" spans="1:22" ht="35.25" x14ac:dyDescent="0.5">
      <c r="B303" s="236" t="s">
        <v>507</v>
      </c>
      <c r="C303" s="236"/>
      <c r="D303" s="216" t="s">
        <v>422</v>
      </c>
      <c r="E303" s="216" t="s">
        <v>422</v>
      </c>
      <c r="F303" s="216" t="s">
        <v>422</v>
      </c>
      <c r="G303" s="216" t="s">
        <v>422</v>
      </c>
      <c r="H303" s="216" t="s">
        <v>422</v>
      </c>
      <c r="I303" s="217">
        <f>I304</f>
        <v>686</v>
      </c>
      <c r="J303" s="217">
        <f t="shared" ref="J303:K303" si="121">J304</f>
        <v>452.9</v>
      </c>
      <c r="K303" s="218">
        <f t="shared" si="121"/>
        <v>42</v>
      </c>
      <c r="L303" s="216" t="s">
        <v>422</v>
      </c>
      <c r="M303" s="216" t="s">
        <v>422</v>
      </c>
      <c r="N303" s="219" t="s">
        <v>422</v>
      </c>
      <c r="O303" s="221">
        <v>9114658.1800000016</v>
      </c>
      <c r="P303" s="221">
        <f t="shared" ref="P303:S303" si="122">P304</f>
        <v>0</v>
      </c>
      <c r="Q303" s="221">
        <f t="shared" si="122"/>
        <v>0</v>
      </c>
      <c r="R303" s="221">
        <f t="shared" si="122"/>
        <v>0</v>
      </c>
      <c r="S303" s="221">
        <f t="shared" si="122"/>
        <v>9114658.1800000016</v>
      </c>
      <c r="T303" s="221">
        <f t="shared" si="110"/>
        <v>13286.673731778428</v>
      </c>
      <c r="U303" s="221">
        <f>U304</f>
        <v>13536.65</v>
      </c>
      <c r="V303" s="27">
        <f t="shared" si="109"/>
        <v>0</v>
      </c>
    </row>
    <row r="304" spans="1:22" ht="35.25" x14ac:dyDescent="0.5">
      <c r="A304">
        <v>1</v>
      </c>
      <c r="B304" s="223">
        <f>SUBTOTAL(9,$A$198:A304)</f>
        <v>99</v>
      </c>
      <c r="C304" s="225" t="s">
        <v>377</v>
      </c>
      <c r="D304" s="238"/>
      <c r="E304" s="216">
        <v>1971</v>
      </c>
      <c r="F304" s="216" t="s">
        <v>419</v>
      </c>
      <c r="G304" s="216">
        <v>2</v>
      </c>
      <c r="H304" s="216" t="s">
        <v>319</v>
      </c>
      <c r="I304" s="217">
        <v>686</v>
      </c>
      <c r="J304" s="217">
        <v>452.9</v>
      </c>
      <c r="K304" s="218">
        <v>42</v>
      </c>
      <c r="L304" s="216" t="s">
        <v>417</v>
      </c>
      <c r="M304" s="216" t="s">
        <v>424</v>
      </c>
      <c r="N304" s="219" t="s">
        <v>425</v>
      </c>
      <c r="O304" s="221">
        <v>9114658.1800000016</v>
      </c>
      <c r="P304" s="221">
        <v>0</v>
      </c>
      <c r="Q304" s="221">
        <v>0</v>
      </c>
      <c r="R304" s="221">
        <v>0</v>
      </c>
      <c r="S304" s="221">
        <f>O304-P304-Q304-R304</f>
        <v>9114658.1800000016</v>
      </c>
      <c r="T304" s="221">
        <f t="shared" si="110"/>
        <v>13286.673731778428</v>
      </c>
      <c r="U304" s="221">
        <v>13536.65</v>
      </c>
      <c r="V304" s="27">
        <f t="shared" si="109"/>
        <v>0</v>
      </c>
    </row>
    <row r="305" spans="1:22" ht="35.25" x14ac:dyDescent="0.5">
      <c r="B305" s="236" t="s">
        <v>504</v>
      </c>
      <c r="C305" s="236"/>
      <c r="D305" s="216" t="s">
        <v>422</v>
      </c>
      <c r="E305" s="216" t="s">
        <v>422</v>
      </c>
      <c r="F305" s="216" t="s">
        <v>422</v>
      </c>
      <c r="G305" s="216" t="s">
        <v>422</v>
      </c>
      <c r="H305" s="216" t="s">
        <v>422</v>
      </c>
      <c r="I305" s="217">
        <f>I306</f>
        <v>956.2</v>
      </c>
      <c r="J305" s="217">
        <f t="shared" ref="J305:K305" si="123">J306</f>
        <v>835.3</v>
      </c>
      <c r="K305" s="218">
        <f t="shared" si="123"/>
        <v>47</v>
      </c>
      <c r="L305" s="216" t="s">
        <v>422</v>
      </c>
      <c r="M305" s="216" t="s">
        <v>422</v>
      </c>
      <c r="N305" s="219" t="s">
        <v>422</v>
      </c>
      <c r="O305" s="221">
        <v>13227679.42</v>
      </c>
      <c r="P305" s="221">
        <f t="shared" ref="P305:S305" si="124">P306</f>
        <v>0</v>
      </c>
      <c r="Q305" s="221">
        <f t="shared" si="124"/>
        <v>0</v>
      </c>
      <c r="R305" s="221">
        <f t="shared" si="124"/>
        <v>0</v>
      </c>
      <c r="S305" s="221">
        <f t="shared" si="124"/>
        <v>13227679.42</v>
      </c>
      <c r="T305" s="221">
        <f t="shared" si="110"/>
        <v>13833.590692323782</v>
      </c>
      <c r="U305" s="221">
        <f>U306</f>
        <v>14093.86</v>
      </c>
      <c r="V305" s="27">
        <f t="shared" si="109"/>
        <v>0</v>
      </c>
    </row>
    <row r="306" spans="1:22" ht="35.25" x14ac:dyDescent="0.5">
      <c r="A306">
        <v>1</v>
      </c>
      <c r="B306" s="223">
        <f>SUBTOTAL(9,$A$198:A306)</f>
        <v>100</v>
      </c>
      <c r="C306" s="225" t="s">
        <v>369</v>
      </c>
      <c r="D306" s="238"/>
      <c r="E306" s="216">
        <v>1986</v>
      </c>
      <c r="F306" s="216" t="s">
        <v>419</v>
      </c>
      <c r="G306" s="216">
        <v>2</v>
      </c>
      <c r="H306" s="216" t="s">
        <v>326</v>
      </c>
      <c r="I306" s="217">
        <v>956.2</v>
      </c>
      <c r="J306" s="217">
        <v>835.3</v>
      </c>
      <c r="K306" s="218">
        <v>47</v>
      </c>
      <c r="L306" s="216" t="s">
        <v>417</v>
      </c>
      <c r="M306" s="216" t="s">
        <v>424</v>
      </c>
      <c r="N306" s="219" t="s">
        <v>425</v>
      </c>
      <c r="O306" s="221">
        <v>13227679.42</v>
      </c>
      <c r="P306" s="221">
        <v>0</v>
      </c>
      <c r="Q306" s="221">
        <v>0</v>
      </c>
      <c r="R306" s="221">
        <v>0</v>
      </c>
      <c r="S306" s="221">
        <f>O306-P306-Q306-R306</f>
        <v>13227679.42</v>
      </c>
      <c r="T306" s="221">
        <f t="shared" si="110"/>
        <v>13833.590692323782</v>
      </c>
      <c r="U306" s="221">
        <v>14093.86</v>
      </c>
      <c r="V306" s="27">
        <f t="shared" si="109"/>
        <v>0</v>
      </c>
    </row>
    <row r="307" spans="1:22" ht="35.25" x14ac:dyDescent="0.5">
      <c r="B307" s="236" t="s">
        <v>503</v>
      </c>
      <c r="C307" s="236"/>
      <c r="D307" s="216" t="s">
        <v>422</v>
      </c>
      <c r="E307" s="216" t="s">
        <v>422</v>
      </c>
      <c r="F307" s="216" t="s">
        <v>422</v>
      </c>
      <c r="G307" s="216" t="s">
        <v>422</v>
      </c>
      <c r="H307" s="216" t="s">
        <v>422</v>
      </c>
      <c r="I307" s="217">
        <f>I308</f>
        <v>785.9</v>
      </c>
      <c r="J307" s="217">
        <f t="shared" ref="J307:K307" si="125">J308</f>
        <v>726.2</v>
      </c>
      <c r="K307" s="218">
        <f t="shared" si="125"/>
        <v>37</v>
      </c>
      <c r="L307" s="216" t="s">
        <v>422</v>
      </c>
      <c r="M307" s="216" t="s">
        <v>422</v>
      </c>
      <c r="N307" s="219" t="s">
        <v>422</v>
      </c>
      <c r="O307" s="221">
        <v>8307287.3399999999</v>
      </c>
      <c r="P307" s="221">
        <f t="shared" ref="P307:S307" si="126">P308</f>
        <v>0</v>
      </c>
      <c r="Q307" s="221">
        <f t="shared" si="126"/>
        <v>0</v>
      </c>
      <c r="R307" s="221">
        <f t="shared" si="126"/>
        <v>0</v>
      </c>
      <c r="S307" s="221">
        <f t="shared" si="126"/>
        <v>8307287.3399999999</v>
      </c>
      <c r="T307" s="221">
        <f t="shared" si="110"/>
        <v>10570.412698816643</v>
      </c>
      <c r="U307" s="221">
        <f>U308</f>
        <v>10769.29</v>
      </c>
      <c r="V307" s="27">
        <f t="shared" si="109"/>
        <v>0</v>
      </c>
    </row>
    <row r="308" spans="1:22" ht="35.25" x14ac:dyDescent="0.5">
      <c r="A308">
        <v>1</v>
      </c>
      <c r="B308" s="223">
        <f>SUBTOTAL(9,$A$198:A308)</f>
        <v>101</v>
      </c>
      <c r="C308" s="225" t="s">
        <v>376</v>
      </c>
      <c r="D308" s="238"/>
      <c r="E308" s="216">
        <v>1971</v>
      </c>
      <c r="F308" s="216" t="s">
        <v>419</v>
      </c>
      <c r="G308" s="216">
        <v>2</v>
      </c>
      <c r="H308" s="216" t="s">
        <v>319</v>
      </c>
      <c r="I308" s="217">
        <v>785.9</v>
      </c>
      <c r="J308" s="217">
        <v>726.2</v>
      </c>
      <c r="K308" s="218">
        <v>37</v>
      </c>
      <c r="L308" s="216" t="s">
        <v>417</v>
      </c>
      <c r="M308" s="216" t="s">
        <v>424</v>
      </c>
      <c r="N308" s="219" t="s">
        <v>425</v>
      </c>
      <c r="O308" s="221">
        <v>8307287.3399999999</v>
      </c>
      <c r="P308" s="221">
        <v>0</v>
      </c>
      <c r="Q308" s="221">
        <v>0</v>
      </c>
      <c r="R308" s="221">
        <v>0</v>
      </c>
      <c r="S308" s="221">
        <f>O308-P308-Q308-R308</f>
        <v>8307287.3399999999</v>
      </c>
      <c r="T308" s="221">
        <f t="shared" si="110"/>
        <v>10570.412698816643</v>
      </c>
      <c r="U308" s="221">
        <v>10769.29</v>
      </c>
      <c r="V308" s="27">
        <f t="shared" si="109"/>
        <v>0</v>
      </c>
    </row>
    <row r="309" spans="1:22" ht="35.25" x14ac:dyDescent="0.5">
      <c r="B309" s="215" t="s">
        <v>690</v>
      </c>
      <c r="C309" s="222"/>
      <c r="D309" s="216" t="s">
        <v>422</v>
      </c>
      <c r="E309" s="216" t="s">
        <v>422</v>
      </c>
      <c r="F309" s="216" t="s">
        <v>422</v>
      </c>
      <c r="G309" s="216" t="s">
        <v>422</v>
      </c>
      <c r="H309" s="216" t="s">
        <v>422</v>
      </c>
      <c r="I309" s="217">
        <f>SUM(I310:I312)</f>
        <v>13564</v>
      </c>
      <c r="J309" s="217">
        <f>SUM(J310:J312)</f>
        <v>11034.3</v>
      </c>
      <c r="K309" s="218">
        <f>SUM(K310:K312)</f>
        <v>464</v>
      </c>
      <c r="L309" s="216" t="s">
        <v>422</v>
      </c>
      <c r="M309" s="216" t="s">
        <v>422</v>
      </c>
      <c r="N309" s="219" t="s">
        <v>422</v>
      </c>
      <c r="O309" s="221">
        <f>SUM(O310:O312)</f>
        <v>42053337.650000006</v>
      </c>
      <c r="P309" s="221">
        <f t="shared" ref="P309:S309" si="127">SUM(P310:P312)</f>
        <v>0</v>
      </c>
      <c r="Q309" s="221">
        <f t="shared" si="127"/>
        <v>0</v>
      </c>
      <c r="R309" s="221">
        <f t="shared" si="127"/>
        <v>0</v>
      </c>
      <c r="S309" s="221">
        <f t="shared" si="127"/>
        <v>42053337.650000006</v>
      </c>
      <c r="T309" s="221">
        <f t="shared" si="110"/>
        <v>3100.3640260984967</v>
      </c>
      <c r="U309" s="221">
        <f>MAX(U310:U312)</f>
        <v>9253.0499999999993</v>
      </c>
      <c r="V309" s="27">
        <f t="shared" si="109"/>
        <v>0</v>
      </c>
    </row>
    <row r="310" spans="1:22" ht="35.25" x14ac:dyDescent="0.5">
      <c r="A310">
        <v>1</v>
      </c>
      <c r="B310" s="223">
        <f>SUBTOTAL(9,$A$198:A310)</f>
        <v>102</v>
      </c>
      <c r="C310" s="225" t="s">
        <v>171</v>
      </c>
      <c r="D310" s="216"/>
      <c r="E310" s="216">
        <v>1983</v>
      </c>
      <c r="F310" s="216" t="s">
        <v>419</v>
      </c>
      <c r="G310" s="216">
        <v>5</v>
      </c>
      <c r="H310" s="216" t="s">
        <v>320</v>
      </c>
      <c r="I310" s="217">
        <v>5549.5</v>
      </c>
      <c r="J310" s="217">
        <v>5536.4</v>
      </c>
      <c r="K310" s="218">
        <v>190</v>
      </c>
      <c r="L310" s="216" t="s">
        <v>417</v>
      </c>
      <c r="M310" s="216" t="s">
        <v>423</v>
      </c>
      <c r="N310" s="219" t="s">
        <v>440</v>
      </c>
      <c r="O310" s="221">
        <v>18662824</v>
      </c>
      <c r="P310" s="221">
        <v>0</v>
      </c>
      <c r="Q310" s="221">
        <v>0</v>
      </c>
      <c r="R310" s="221">
        <v>0</v>
      </c>
      <c r="S310" s="221">
        <f>O310-P310-Q310-R310</f>
        <v>18662824</v>
      </c>
      <c r="T310" s="221">
        <f t="shared" ref="T310:T340" si="128">O310/I310</f>
        <v>3362.9739616181637</v>
      </c>
      <c r="U310" s="221">
        <v>3362.97</v>
      </c>
      <c r="V310" s="27">
        <f t="shared" si="109"/>
        <v>0</v>
      </c>
    </row>
    <row r="311" spans="1:22" ht="35.25" x14ac:dyDescent="0.5">
      <c r="A311">
        <v>1</v>
      </c>
      <c r="B311" s="223">
        <f>SUBTOTAL(9,$A$198:A311)</f>
        <v>103</v>
      </c>
      <c r="C311" s="225" t="s">
        <v>172</v>
      </c>
      <c r="D311" s="216"/>
      <c r="E311" s="216">
        <v>1995</v>
      </c>
      <c r="F311" s="216" t="s">
        <v>419</v>
      </c>
      <c r="G311" s="216">
        <v>5</v>
      </c>
      <c r="H311" s="216" t="s">
        <v>320</v>
      </c>
      <c r="I311" s="217">
        <v>7244.3</v>
      </c>
      <c r="J311" s="217">
        <v>4975.6000000000004</v>
      </c>
      <c r="K311" s="218">
        <v>242</v>
      </c>
      <c r="L311" s="216" t="s">
        <v>417</v>
      </c>
      <c r="M311" s="216" t="s">
        <v>423</v>
      </c>
      <c r="N311" s="219" t="s">
        <v>442</v>
      </c>
      <c r="O311" s="221">
        <v>16263815.730000002</v>
      </c>
      <c r="P311" s="221">
        <v>0</v>
      </c>
      <c r="Q311" s="221">
        <v>0</v>
      </c>
      <c r="R311" s="221">
        <v>0</v>
      </c>
      <c r="S311" s="221">
        <f>O311-P311-Q311-R311</f>
        <v>16263815.730000002</v>
      </c>
      <c r="T311" s="221">
        <f t="shared" si="128"/>
        <v>2245.0500020705936</v>
      </c>
      <c r="U311" s="221">
        <v>3343.89</v>
      </c>
      <c r="V311" s="27">
        <f t="shared" si="109"/>
        <v>0</v>
      </c>
    </row>
    <row r="312" spans="1:22" ht="35.25" x14ac:dyDescent="0.5">
      <c r="A312">
        <v>1</v>
      </c>
      <c r="B312" s="223">
        <f>SUBTOTAL(9,$A$198:A312)</f>
        <v>104</v>
      </c>
      <c r="C312" s="225" t="s">
        <v>776</v>
      </c>
      <c r="D312" s="216"/>
      <c r="E312" s="216">
        <v>1970</v>
      </c>
      <c r="F312" s="216" t="s">
        <v>419</v>
      </c>
      <c r="G312" s="216">
        <v>2</v>
      </c>
      <c r="H312" s="216">
        <v>2</v>
      </c>
      <c r="I312" s="217">
        <v>770.2</v>
      </c>
      <c r="J312" s="217">
        <v>522.29999999999995</v>
      </c>
      <c r="K312" s="218">
        <v>32</v>
      </c>
      <c r="L312" s="216" t="s">
        <v>417</v>
      </c>
      <c r="M312" s="216" t="s">
        <v>424</v>
      </c>
      <c r="N312" s="219" t="s">
        <v>425</v>
      </c>
      <c r="O312" s="221">
        <v>7126697.9199999999</v>
      </c>
      <c r="P312" s="221">
        <v>0</v>
      </c>
      <c r="Q312" s="221">
        <v>0</v>
      </c>
      <c r="R312" s="221">
        <v>0</v>
      </c>
      <c r="S312" s="221">
        <f>O312-P312-Q312-R312</f>
        <v>7126697.9199999999</v>
      </c>
      <c r="T312" s="221">
        <f t="shared" si="128"/>
        <v>9253.0484549467656</v>
      </c>
      <c r="U312" s="221">
        <v>9253.0499999999993</v>
      </c>
      <c r="V312" s="27">
        <f t="shared" si="109"/>
        <v>0</v>
      </c>
    </row>
    <row r="313" spans="1:22" ht="35.25" x14ac:dyDescent="0.5">
      <c r="B313" s="215" t="s">
        <v>689</v>
      </c>
      <c r="C313" s="222"/>
      <c r="D313" s="216" t="s">
        <v>422</v>
      </c>
      <c r="E313" s="216" t="s">
        <v>422</v>
      </c>
      <c r="F313" s="216" t="s">
        <v>422</v>
      </c>
      <c r="G313" s="216" t="s">
        <v>422</v>
      </c>
      <c r="H313" s="216" t="s">
        <v>422</v>
      </c>
      <c r="I313" s="217">
        <f>I314+I315+I316+I317</f>
        <v>1924.8000000000002</v>
      </c>
      <c r="J313" s="217">
        <f t="shared" ref="J313:K313" si="129">J314+J315+J316+J317</f>
        <v>1593.4999999999998</v>
      </c>
      <c r="K313" s="218">
        <f t="shared" si="129"/>
        <v>84</v>
      </c>
      <c r="L313" s="216" t="s">
        <v>422</v>
      </c>
      <c r="M313" s="216" t="s">
        <v>422</v>
      </c>
      <c r="N313" s="219" t="s">
        <v>422</v>
      </c>
      <c r="O313" s="221">
        <v>27227661.530000001</v>
      </c>
      <c r="P313" s="221">
        <f t="shared" ref="P313:S313" si="130">SUM(P314:P317)</f>
        <v>0</v>
      </c>
      <c r="Q313" s="221">
        <f t="shared" si="130"/>
        <v>0</v>
      </c>
      <c r="R313" s="221">
        <f t="shared" si="130"/>
        <v>0</v>
      </c>
      <c r="S313" s="221">
        <f t="shared" si="130"/>
        <v>27227661.530000001</v>
      </c>
      <c r="T313" s="221">
        <f t="shared" si="128"/>
        <v>14145.709439941811</v>
      </c>
      <c r="U313" s="221">
        <f>MAX(U314:U317)</f>
        <v>19257.12</v>
      </c>
      <c r="V313" s="27">
        <f t="shared" si="109"/>
        <v>0</v>
      </c>
    </row>
    <row r="314" spans="1:22" ht="35.25" x14ac:dyDescent="0.5">
      <c r="A314">
        <v>1</v>
      </c>
      <c r="B314" s="223">
        <f>SUBTOTAL(9,$A$198:A314)</f>
        <v>105</v>
      </c>
      <c r="C314" s="225" t="s">
        <v>177</v>
      </c>
      <c r="D314" s="216"/>
      <c r="E314" s="216">
        <v>1985</v>
      </c>
      <c r="F314" s="216" t="s">
        <v>419</v>
      </c>
      <c r="G314" s="216">
        <v>2</v>
      </c>
      <c r="H314" s="216" t="s">
        <v>319</v>
      </c>
      <c r="I314" s="217">
        <v>601</v>
      </c>
      <c r="J314" s="217">
        <v>555</v>
      </c>
      <c r="K314" s="218">
        <v>15</v>
      </c>
      <c r="L314" s="216" t="s">
        <v>417</v>
      </c>
      <c r="M314" s="216" t="s">
        <v>423</v>
      </c>
      <c r="N314" s="216" t="s">
        <v>443</v>
      </c>
      <c r="O314" s="220">
        <v>8505321.6999999993</v>
      </c>
      <c r="P314" s="220">
        <v>0</v>
      </c>
      <c r="Q314" s="220">
        <v>0</v>
      </c>
      <c r="R314" s="220">
        <v>0</v>
      </c>
      <c r="S314" s="220">
        <f t="shared" ref="S314:S317" si="131">O314-P314-Q314-R314</f>
        <v>8505321.6999999993</v>
      </c>
      <c r="T314" s="221">
        <f t="shared" si="128"/>
        <v>14151.949584026621</v>
      </c>
      <c r="U314" s="221">
        <v>14418.210482529119</v>
      </c>
      <c r="V314" s="27">
        <f t="shared" si="109"/>
        <v>0</v>
      </c>
    </row>
    <row r="315" spans="1:22" ht="35.25" x14ac:dyDescent="0.5">
      <c r="A315">
        <v>1</v>
      </c>
      <c r="B315" s="223">
        <f>SUBTOTAL(9,$A$198:A315)</f>
        <v>106</v>
      </c>
      <c r="C315" s="225" t="s">
        <v>178</v>
      </c>
      <c r="D315" s="216"/>
      <c r="E315" s="216">
        <v>1977</v>
      </c>
      <c r="F315" s="216" t="s">
        <v>419</v>
      </c>
      <c r="G315" s="216">
        <v>2</v>
      </c>
      <c r="H315" s="216" t="s">
        <v>319</v>
      </c>
      <c r="I315" s="217">
        <v>711</v>
      </c>
      <c r="J315" s="217">
        <v>469.6</v>
      </c>
      <c r="K315" s="218">
        <v>34</v>
      </c>
      <c r="L315" s="216" t="s">
        <v>417</v>
      </c>
      <c r="M315" s="216" t="s">
        <v>424</v>
      </c>
      <c r="N315" s="216" t="s">
        <v>425</v>
      </c>
      <c r="O315" s="220">
        <v>8440250.9400000013</v>
      </c>
      <c r="P315" s="220">
        <v>0</v>
      </c>
      <c r="Q315" s="220">
        <v>0</v>
      </c>
      <c r="R315" s="220">
        <v>0</v>
      </c>
      <c r="S315" s="220">
        <f t="shared" si="131"/>
        <v>8440250.9400000013</v>
      </c>
      <c r="T315" s="221">
        <f t="shared" si="128"/>
        <v>11870.957721518989</v>
      </c>
      <c r="U315" s="221">
        <v>15747.750627285513</v>
      </c>
      <c r="V315" s="27">
        <f t="shared" si="109"/>
        <v>0</v>
      </c>
    </row>
    <row r="316" spans="1:22" ht="35.25" x14ac:dyDescent="0.5">
      <c r="A316">
        <v>1</v>
      </c>
      <c r="B316" s="223">
        <f>SUBTOTAL(9,$A$198:A316)</f>
        <v>107</v>
      </c>
      <c r="C316" s="225" t="s">
        <v>745</v>
      </c>
      <c r="D316" s="216"/>
      <c r="E316" s="216">
        <v>1967</v>
      </c>
      <c r="F316" s="216" t="s">
        <v>419</v>
      </c>
      <c r="G316" s="216">
        <v>2</v>
      </c>
      <c r="H316" s="216">
        <v>1</v>
      </c>
      <c r="I316" s="217">
        <v>281.89999999999998</v>
      </c>
      <c r="J316" s="217">
        <v>259.60000000000002</v>
      </c>
      <c r="K316" s="218">
        <v>21</v>
      </c>
      <c r="L316" s="216" t="s">
        <v>417</v>
      </c>
      <c r="M316" s="216" t="s">
        <v>424</v>
      </c>
      <c r="N316" s="216" t="s">
        <v>425</v>
      </c>
      <c r="O316" s="220">
        <v>3909909.08</v>
      </c>
      <c r="P316" s="220">
        <v>0</v>
      </c>
      <c r="Q316" s="220">
        <v>0</v>
      </c>
      <c r="R316" s="220">
        <v>0</v>
      </c>
      <c r="S316" s="220">
        <f t="shared" si="131"/>
        <v>3909909.08</v>
      </c>
      <c r="T316" s="221">
        <f t="shared" si="128"/>
        <v>13869.844200070949</v>
      </c>
      <c r="U316" s="221">
        <v>13869.84</v>
      </c>
      <c r="V316" s="27">
        <f t="shared" si="109"/>
        <v>0</v>
      </c>
    </row>
    <row r="317" spans="1:22" ht="35.25" x14ac:dyDescent="0.5">
      <c r="A317">
        <v>1</v>
      </c>
      <c r="B317" s="223">
        <f>SUBTOTAL(9,$A$198:A317)</f>
        <v>108</v>
      </c>
      <c r="C317" s="225" t="s">
        <v>746</v>
      </c>
      <c r="D317" s="216"/>
      <c r="E317" s="216">
        <v>1965</v>
      </c>
      <c r="F317" s="216" t="s">
        <v>419</v>
      </c>
      <c r="G317" s="216">
        <v>2</v>
      </c>
      <c r="H317" s="216">
        <v>1</v>
      </c>
      <c r="I317" s="217">
        <v>330.9</v>
      </c>
      <c r="J317" s="217">
        <v>309.3</v>
      </c>
      <c r="K317" s="218">
        <v>14</v>
      </c>
      <c r="L317" s="216" t="s">
        <v>417</v>
      </c>
      <c r="M317" s="216" t="s">
        <v>424</v>
      </c>
      <c r="N317" s="216" t="s">
        <v>425</v>
      </c>
      <c r="O317" s="220">
        <v>6372179.8100000005</v>
      </c>
      <c r="P317" s="220">
        <v>0</v>
      </c>
      <c r="Q317" s="220">
        <v>0</v>
      </c>
      <c r="R317" s="220">
        <v>0</v>
      </c>
      <c r="S317" s="220">
        <f t="shared" si="131"/>
        <v>6372179.8100000005</v>
      </c>
      <c r="T317" s="221">
        <f t="shared" si="128"/>
        <v>19257.116379570871</v>
      </c>
      <c r="U317" s="221">
        <v>19257.12</v>
      </c>
      <c r="V317" s="27">
        <f t="shared" si="109"/>
        <v>0</v>
      </c>
    </row>
    <row r="318" spans="1:22" ht="35.25" x14ac:dyDescent="0.5">
      <c r="B318" s="215" t="s">
        <v>686</v>
      </c>
      <c r="C318" s="215"/>
      <c r="D318" s="216" t="s">
        <v>422</v>
      </c>
      <c r="E318" s="216" t="s">
        <v>422</v>
      </c>
      <c r="F318" s="216" t="s">
        <v>422</v>
      </c>
      <c r="G318" s="216" t="s">
        <v>422</v>
      </c>
      <c r="H318" s="216" t="s">
        <v>422</v>
      </c>
      <c r="I318" s="217">
        <f>I319</f>
        <v>648.1</v>
      </c>
      <c r="J318" s="217">
        <f t="shared" ref="J318:K318" si="132">J319</f>
        <v>561.20000000000005</v>
      </c>
      <c r="K318" s="218">
        <f t="shared" si="132"/>
        <v>29</v>
      </c>
      <c r="L318" s="216" t="s">
        <v>422</v>
      </c>
      <c r="M318" s="216" t="s">
        <v>422</v>
      </c>
      <c r="N318" s="219" t="s">
        <v>422</v>
      </c>
      <c r="O318" s="221">
        <v>7270971.0200000005</v>
      </c>
      <c r="P318" s="221">
        <f t="shared" ref="P318:S318" si="133">P319</f>
        <v>0</v>
      </c>
      <c r="Q318" s="221">
        <f t="shared" si="133"/>
        <v>0</v>
      </c>
      <c r="R318" s="221">
        <f t="shared" si="133"/>
        <v>0</v>
      </c>
      <c r="S318" s="221">
        <f t="shared" si="133"/>
        <v>7270971.0200000005</v>
      </c>
      <c r="T318" s="221">
        <f t="shared" si="128"/>
        <v>11218.902977935504</v>
      </c>
      <c r="U318" s="221">
        <f>U319</f>
        <v>11429.98</v>
      </c>
      <c r="V318" s="27">
        <f t="shared" si="109"/>
        <v>0</v>
      </c>
    </row>
    <row r="319" spans="1:22" ht="35.25" x14ac:dyDescent="0.5">
      <c r="A319">
        <v>1</v>
      </c>
      <c r="B319" s="223">
        <f>SUBTOTAL(9,$A$198:A319)</f>
        <v>109</v>
      </c>
      <c r="C319" s="225" t="s">
        <v>182</v>
      </c>
      <c r="D319" s="216"/>
      <c r="E319" s="216">
        <v>1987</v>
      </c>
      <c r="F319" s="216" t="s">
        <v>420</v>
      </c>
      <c r="G319" s="216">
        <v>2</v>
      </c>
      <c r="H319" s="216" t="s">
        <v>319</v>
      </c>
      <c r="I319" s="217">
        <v>648.1</v>
      </c>
      <c r="J319" s="217">
        <v>561.20000000000005</v>
      </c>
      <c r="K319" s="218">
        <v>29</v>
      </c>
      <c r="L319" s="216" t="s">
        <v>417</v>
      </c>
      <c r="M319" s="216" t="s">
        <v>423</v>
      </c>
      <c r="N319" s="219" t="s">
        <v>444</v>
      </c>
      <c r="O319" s="221">
        <v>7270971.0200000005</v>
      </c>
      <c r="P319" s="221">
        <v>0</v>
      </c>
      <c r="Q319" s="221">
        <v>0</v>
      </c>
      <c r="R319" s="221">
        <v>0</v>
      </c>
      <c r="S319" s="221">
        <f>O319-P319-Q319-R319</f>
        <v>7270971.0200000005</v>
      </c>
      <c r="T319" s="221">
        <f t="shared" si="128"/>
        <v>11218.902977935504</v>
      </c>
      <c r="U319" s="221">
        <v>11429.98</v>
      </c>
      <c r="V319" s="27">
        <f t="shared" si="109"/>
        <v>0</v>
      </c>
    </row>
    <row r="320" spans="1:22" ht="35.25" x14ac:dyDescent="0.5">
      <c r="B320" s="215" t="s">
        <v>691</v>
      </c>
      <c r="C320" s="215"/>
      <c r="D320" s="216" t="s">
        <v>422</v>
      </c>
      <c r="E320" s="216" t="s">
        <v>422</v>
      </c>
      <c r="F320" s="216" t="s">
        <v>422</v>
      </c>
      <c r="G320" s="216" t="s">
        <v>422</v>
      </c>
      <c r="H320" s="216" t="s">
        <v>422</v>
      </c>
      <c r="I320" s="217">
        <f>SUM(I321:I326)</f>
        <v>19187.28</v>
      </c>
      <c r="J320" s="217">
        <f t="shared" ref="J320:K320" si="134">SUM(J321:J326)</f>
        <v>16816</v>
      </c>
      <c r="K320" s="218">
        <f t="shared" si="134"/>
        <v>789</v>
      </c>
      <c r="L320" s="216" t="s">
        <v>422</v>
      </c>
      <c r="M320" s="216" t="s">
        <v>422</v>
      </c>
      <c r="N320" s="219" t="s">
        <v>422</v>
      </c>
      <c r="O320" s="221">
        <f>SUM(O321:O326)</f>
        <v>73267562.609999999</v>
      </c>
      <c r="P320" s="221">
        <f t="shared" ref="P320:S320" si="135">SUM(P321:P326)</f>
        <v>0</v>
      </c>
      <c r="Q320" s="221">
        <f t="shared" si="135"/>
        <v>0</v>
      </c>
      <c r="R320" s="221">
        <f t="shared" si="135"/>
        <v>0</v>
      </c>
      <c r="S320" s="221">
        <f t="shared" si="135"/>
        <v>73267562.609999999</v>
      </c>
      <c r="T320" s="221">
        <f t="shared" si="128"/>
        <v>3818.5486744343129</v>
      </c>
      <c r="U320" s="221">
        <f>MAX(U321:U326)</f>
        <v>13022.27</v>
      </c>
      <c r="V320" s="27">
        <f t="shared" si="109"/>
        <v>0</v>
      </c>
    </row>
    <row r="321" spans="1:22" ht="35.25" x14ac:dyDescent="0.5">
      <c r="A321">
        <v>1</v>
      </c>
      <c r="B321" s="223">
        <f>SUBTOTAL(9,$A$198:A321)</f>
        <v>110</v>
      </c>
      <c r="C321" s="225" t="s">
        <v>186</v>
      </c>
      <c r="D321" s="216"/>
      <c r="E321" s="216">
        <v>1988</v>
      </c>
      <c r="F321" s="216" t="s">
        <v>419</v>
      </c>
      <c r="G321" s="216">
        <v>5</v>
      </c>
      <c r="H321" s="216" t="s">
        <v>321</v>
      </c>
      <c r="I321" s="217">
        <v>4049.9</v>
      </c>
      <c r="J321" s="217">
        <v>3010.3</v>
      </c>
      <c r="K321" s="218">
        <v>159</v>
      </c>
      <c r="L321" s="216" t="s">
        <v>417</v>
      </c>
      <c r="M321" s="216" t="s">
        <v>423</v>
      </c>
      <c r="N321" s="219" t="s">
        <v>446</v>
      </c>
      <c r="O321" s="221">
        <v>13542503.27</v>
      </c>
      <c r="P321" s="221">
        <v>0</v>
      </c>
      <c r="Q321" s="221">
        <v>0</v>
      </c>
      <c r="R321" s="221">
        <v>0</v>
      </c>
      <c r="S321" s="221">
        <f t="shared" ref="S321:S326" si="136">O321-P321-Q321-R321</f>
        <v>13542503.27</v>
      </c>
      <c r="T321" s="221">
        <f t="shared" si="128"/>
        <v>3343.9105335934219</v>
      </c>
      <c r="U321" s="221">
        <v>3406.82</v>
      </c>
      <c r="V321" s="27">
        <f t="shared" si="109"/>
        <v>0</v>
      </c>
    </row>
    <row r="322" spans="1:22" ht="35.25" x14ac:dyDescent="0.5">
      <c r="A322">
        <v>1</v>
      </c>
      <c r="B322" s="223">
        <f>SUBTOTAL(9,$A$198:A322)</f>
        <v>111</v>
      </c>
      <c r="C322" s="225" t="s">
        <v>187</v>
      </c>
      <c r="D322" s="216"/>
      <c r="E322" s="216">
        <v>1970</v>
      </c>
      <c r="F322" s="216" t="s">
        <v>419</v>
      </c>
      <c r="G322" s="216">
        <v>5</v>
      </c>
      <c r="H322" s="216" t="s">
        <v>321</v>
      </c>
      <c r="I322" s="217">
        <v>4146.08</v>
      </c>
      <c r="J322" s="217">
        <v>3173.5</v>
      </c>
      <c r="K322" s="218">
        <v>182</v>
      </c>
      <c r="L322" s="216" t="s">
        <v>417</v>
      </c>
      <c r="M322" s="216" t="s">
        <v>423</v>
      </c>
      <c r="N322" s="219" t="s">
        <v>446</v>
      </c>
      <c r="O322" s="221">
        <v>13840824.25</v>
      </c>
      <c r="P322" s="221">
        <v>0</v>
      </c>
      <c r="Q322" s="221">
        <v>0</v>
      </c>
      <c r="R322" s="221">
        <v>0</v>
      </c>
      <c r="S322" s="221">
        <f t="shared" si="136"/>
        <v>13840824.25</v>
      </c>
      <c r="T322" s="221">
        <f t="shared" si="128"/>
        <v>3338.2916513911937</v>
      </c>
      <c r="U322" s="221">
        <v>3401.1</v>
      </c>
      <c r="V322" s="27">
        <f t="shared" si="109"/>
        <v>0</v>
      </c>
    </row>
    <row r="323" spans="1:22" ht="35.25" x14ac:dyDescent="0.5">
      <c r="A323">
        <v>1</v>
      </c>
      <c r="B323" s="223">
        <f>SUBTOTAL(9,$A$198:A323)</f>
        <v>112</v>
      </c>
      <c r="C323" s="225" t="s">
        <v>188</v>
      </c>
      <c r="D323" s="216"/>
      <c r="E323" s="216">
        <v>1987</v>
      </c>
      <c r="F323" s="216" t="s">
        <v>419</v>
      </c>
      <c r="G323" s="216">
        <v>2</v>
      </c>
      <c r="H323" s="216" t="s">
        <v>326</v>
      </c>
      <c r="I323" s="217">
        <v>862.5</v>
      </c>
      <c r="J323" s="217">
        <v>503.4</v>
      </c>
      <c r="K323" s="218">
        <v>43</v>
      </c>
      <c r="L323" s="216" t="s">
        <v>417</v>
      </c>
      <c r="M323" s="216" t="s">
        <v>423</v>
      </c>
      <c r="N323" s="219" t="s">
        <v>447</v>
      </c>
      <c r="O323" s="221">
        <v>11024293.32</v>
      </c>
      <c r="P323" s="221">
        <v>0</v>
      </c>
      <c r="Q323" s="221">
        <v>0</v>
      </c>
      <c r="R323" s="221">
        <v>0</v>
      </c>
      <c r="S323" s="221">
        <f t="shared" si="136"/>
        <v>11024293.32</v>
      </c>
      <c r="T323" s="221">
        <f t="shared" si="128"/>
        <v>12781.78935652174</v>
      </c>
      <c r="U323" s="221">
        <v>13022.27</v>
      </c>
      <c r="V323" s="27">
        <f t="shared" si="109"/>
        <v>0</v>
      </c>
    </row>
    <row r="324" spans="1:22" s="30" customFormat="1" ht="35.25" x14ac:dyDescent="0.4">
      <c r="A324">
        <v>1</v>
      </c>
      <c r="B324" s="230">
        <f>SUBTOTAL(9,$A$198:A324)</f>
        <v>113</v>
      </c>
      <c r="C324" s="225" t="s">
        <v>189</v>
      </c>
      <c r="D324" s="230"/>
      <c r="E324" s="230">
        <v>1980</v>
      </c>
      <c r="F324" s="230" t="s">
        <v>419</v>
      </c>
      <c r="G324" s="230">
        <v>5</v>
      </c>
      <c r="H324" s="230" t="s">
        <v>323</v>
      </c>
      <c r="I324" s="231">
        <v>5144.3</v>
      </c>
      <c r="J324" s="231">
        <v>5144.2999999999993</v>
      </c>
      <c r="K324" s="232">
        <v>224</v>
      </c>
      <c r="L324" s="230" t="s">
        <v>417</v>
      </c>
      <c r="M324" s="230" t="s">
        <v>423</v>
      </c>
      <c r="N324" s="233" t="s">
        <v>446</v>
      </c>
      <c r="O324" s="234">
        <v>19198872.02</v>
      </c>
      <c r="P324" s="234">
        <v>0</v>
      </c>
      <c r="Q324" s="234">
        <v>0</v>
      </c>
      <c r="R324" s="234">
        <v>0</v>
      </c>
      <c r="S324" s="234">
        <f t="shared" si="136"/>
        <v>19198872.02</v>
      </c>
      <c r="T324" s="234">
        <f t="shared" si="128"/>
        <v>3732.0669517718638</v>
      </c>
      <c r="U324" s="234">
        <v>3759.1</v>
      </c>
      <c r="V324" s="27">
        <f t="shared" si="109"/>
        <v>0</v>
      </c>
    </row>
    <row r="325" spans="1:22" ht="35.25" x14ac:dyDescent="0.5">
      <c r="A325">
        <v>1</v>
      </c>
      <c r="B325" s="223">
        <f>SUBTOTAL(9,$A$198:A325)</f>
        <v>114</v>
      </c>
      <c r="C325" s="225" t="s">
        <v>190</v>
      </c>
      <c r="D325" s="216"/>
      <c r="E325" s="216">
        <v>1978</v>
      </c>
      <c r="F325" s="216" t="s">
        <v>419</v>
      </c>
      <c r="G325" s="216">
        <v>2</v>
      </c>
      <c r="H325" s="216" t="s">
        <v>317</v>
      </c>
      <c r="I325" s="217">
        <v>375</v>
      </c>
      <c r="J325" s="217">
        <v>375</v>
      </c>
      <c r="K325" s="218">
        <v>24</v>
      </c>
      <c r="L325" s="216" t="s">
        <v>417</v>
      </c>
      <c r="M325" s="216" t="s">
        <v>424</v>
      </c>
      <c r="N325" s="219" t="s">
        <v>425</v>
      </c>
      <c r="O325" s="221">
        <v>4189188.3</v>
      </c>
      <c r="P325" s="221">
        <v>0</v>
      </c>
      <c r="Q325" s="221">
        <v>0</v>
      </c>
      <c r="R325" s="221">
        <v>0</v>
      </c>
      <c r="S325" s="221">
        <f t="shared" si="136"/>
        <v>4189188.3</v>
      </c>
      <c r="T325" s="221">
        <f t="shared" si="128"/>
        <v>11171.168799999999</v>
      </c>
      <c r="U325" s="221">
        <v>11381.35</v>
      </c>
      <c r="V325" s="27">
        <f t="shared" si="109"/>
        <v>0</v>
      </c>
    </row>
    <row r="326" spans="1:22" ht="35.25" x14ac:dyDescent="0.5">
      <c r="A326">
        <v>1</v>
      </c>
      <c r="B326" s="223">
        <f>SUBTOTAL(9,$A$198:A326)</f>
        <v>115</v>
      </c>
      <c r="C326" s="225" t="s">
        <v>780</v>
      </c>
      <c r="D326" s="216"/>
      <c r="E326" s="216">
        <v>1994</v>
      </c>
      <c r="F326" s="216" t="s">
        <v>419</v>
      </c>
      <c r="G326" s="216">
        <v>5</v>
      </c>
      <c r="H326" s="216">
        <v>5</v>
      </c>
      <c r="I326" s="217">
        <v>4609.5</v>
      </c>
      <c r="J326" s="217">
        <v>4609.5</v>
      </c>
      <c r="K326" s="218">
        <v>157</v>
      </c>
      <c r="L326" s="216" t="s">
        <v>417</v>
      </c>
      <c r="M326" s="216" t="s">
        <v>423</v>
      </c>
      <c r="N326" s="219" t="s">
        <v>446</v>
      </c>
      <c r="O326" s="221">
        <v>11471881.449999999</v>
      </c>
      <c r="P326" s="221">
        <v>0</v>
      </c>
      <c r="Q326" s="221">
        <v>0</v>
      </c>
      <c r="R326" s="221">
        <v>0</v>
      </c>
      <c r="S326" s="221">
        <f t="shared" si="136"/>
        <v>11471881.449999999</v>
      </c>
      <c r="T326" s="221">
        <f t="shared" si="128"/>
        <v>2488.7474671873301</v>
      </c>
      <c r="U326" s="221">
        <v>2488.75</v>
      </c>
      <c r="V326" s="27">
        <f t="shared" si="109"/>
        <v>0</v>
      </c>
    </row>
    <row r="327" spans="1:22" ht="35.25" x14ac:dyDescent="0.5">
      <c r="B327" s="215" t="s">
        <v>696</v>
      </c>
      <c r="C327" s="215"/>
      <c r="D327" s="216" t="s">
        <v>422</v>
      </c>
      <c r="E327" s="216" t="s">
        <v>422</v>
      </c>
      <c r="F327" s="216" t="s">
        <v>422</v>
      </c>
      <c r="G327" s="216" t="s">
        <v>422</v>
      </c>
      <c r="H327" s="216" t="s">
        <v>422</v>
      </c>
      <c r="I327" s="217">
        <f>I328+I329+I330</f>
        <v>6442.8</v>
      </c>
      <c r="J327" s="217">
        <f t="shared" ref="J327:K327" si="137">J328+J329+J330</f>
        <v>5570.9000000000005</v>
      </c>
      <c r="K327" s="218">
        <f t="shared" si="137"/>
        <v>125</v>
      </c>
      <c r="L327" s="216" t="s">
        <v>422</v>
      </c>
      <c r="M327" s="216" t="s">
        <v>422</v>
      </c>
      <c r="N327" s="219" t="s">
        <v>422</v>
      </c>
      <c r="O327" s="220">
        <f>O328+O329+O330</f>
        <v>31395610.529999997</v>
      </c>
      <c r="P327" s="220">
        <f t="shared" ref="P327:S327" si="138">P328+P329+P330</f>
        <v>0</v>
      </c>
      <c r="Q327" s="220">
        <f t="shared" si="138"/>
        <v>0</v>
      </c>
      <c r="R327" s="220">
        <f t="shared" si="138"/>
        <v>0</v>
      </c>
      <c r="S327" s="220">
        <f t="shared" si="138"/>
        <v>31395610.529999997</v>
      </c>
      <c r="T327" s="221">
        <f t="shared" si="128"/>
        <v>4872.9761175265403</v>
      </c>
      <c r="U327" s="221">
        <f>MAX(U328:U330)</f>
        <v>9083.7999999999993</v>
      </c>
      <c r="V327" s="27">
        <f t="shared" si="109"/>
        <v>0</v>
      </c>
    </row>
    <row r="328" spans="1:22" ht="35.25" x14ac:dyDescent="0.5">
      <c r="A328">
        <v>1</v>
      </c>
      <c r="B328" s="223">
        <f>SUBTOTAL(9,$A$198:A328)</f>
        <v>116</v>
      </c>
      <c r="C328" s="225" t="s">
        <v>201</v>
      </c>
      <c r="D328" s="216"/>
      <c r="E328" s="216">
        <v>1983</v>
      </c>
      <c r="F328" s="216" t="s">
        <v>419</v>
      </c>
      <c r="G328" s="216">
        <v>3</v>
      </c>
      <c r="H328" s="216" t="s">
        <v>326</v>
      </c>
      <c r="I328" s="217">
        <v>1923.6</v>
      </c>
      <c r="J328" s="217">
        <v>1636.7</v>
      </c>
      <c r="K328" s="218">
        <v>27</v>
      </c>
      <c r="L328" s="216" t="s">
        <v>417</v>
      </c>
      <c r="M328" s="216" t="s">
        <v>423</v>
      </c>
      <c r="N328" s="219" t="s">
        <v>433</v>
      </c>
      <c r="O328" s="221">
        <v>12110562.539999999</v>
      </c>
      <c r="P328" s="221">
        <v>0</v>
      </c>
      <c r="Q328" s="221">
        <v>0</v>
      </c>
      <c r="R328" s="221">
        <v>0</v>
      </c>
      <c r="S328" s="221">
        <f>O328-P328-Q328-R328</f>
        <v>12110562.539999999</v>
      </c>
      <c r="T328" s="221">
        <f t="shared" si="128"/>
        <v>6295.780068621335</v>
      </c>
      <c r="U328" s="221">
        <v>6414.23</v>
      </c>
      <c r="V328" s="27">
        <f t="shared" si="109"/>
        <v>0</v>
      </c>
    </row>
    <row r="329" spans="1:22" ht="35.25" x14ac:dyDescent="0.5">
      <c r="A329">
        <v>1</v>
      </c>
      <c r="B329" s="223">
        <f>SUBTOTAL(9,$A$198:A329)</f>
        <v>117</v>
      </c>
      <c r="C329" s="225" t="s">
        <v>202</v>
      </c>
      <c r="D329" s="216"/>
      <c r="E329" s="216">
        <v>1979</v>
      </c>
      <c r="F329" s="216" t="s">
        <v>420</v>
      </c>
      <c r="G329" s="216">
        <v>5</v>
      </c>
      <c r="H329" s="216" t="s">
        <v>321</v>
      </c>
      <c r="I329" s="217">
        <v>3525.4</v>
      </c>
      <c r="J329" s="217">
        <v>3074.1</v>
      </c>
      <c r="K329" s="218">
        <v>60</v>
      </c>
      <c r="L329" s="216" t="s">
        <v>417</v>
      </c>
      <c r="M329" s="216" t="s">
        <v>423</v>
      </c>
      <c r="N329" s="219" t="s">
        <v>433</v>
      </c>
      <c r="O329" s="221">
        <v>10424280.01</v>
      </c>
      <c r="P329" s="221">
        <v>0</v>
      </c>
      <c r="Q329" s="221">
        <v>0</v>
      </c>
      <c r="R329" s="221">
        <v>0</v>
      </c>
      <c r="S329" s="221">
        <f>O329-P329-Q329-R329</f>
        <v>10424280.01</v>
      </c>
      <c r="T329" s="221">
        <f t="shared" si="128"/>
        <v>2956.9070204799455</v>
      </c>
      <c r="U329" s="221">
        <v>2956.91</v>
      </c>
      <c r="V329" s="27">
        <f t="shared" si="109"/>
        <v>0</v>
      </c>
    </row>
    <row r="330" spans="1:22" ht="35.25" x14ac:dyDescent="0.5">
      <c r="A330">
        <v>1</v>
      </c>
      <c r="B330" s="223">
        <f>SUBTOTAL(9,$A$198:A330)</f>
        <v>118</v>
      </c>
      <c r="C330" s="225" t="s">
        <v>203</v>
      </c>
      <c r="D330" s="216"/>
      <c r="E330" s="216">
        <v>1984</v>
      </c>
      <c r="F330" s="216" t="s">
        <v>419</v>
      </c>
      <c r="G330" s="216">
        <v>2</v>
      </c>
      <c r="H330" s="216" t="s">
        <v>326</v>
      </c>
      <c r="I330" s="217">
        <v>993.8</v>
      </c>
      <c r="J330" s="217">
        <v>860.1</v>
      </c>
      <c r="K330" s="218">
        <v>38</v>
      </c>
      <c r="L330" s="216" t="s">
        <v>417</v>
      </c>
      <c r="M330" s="216" t="s">
        <v>423</v>
      </c>
      <c r="N330" s="219" t="s">
        <v>449</v>
      </c>
      <c r="O330" s="221">
        <v>8860767.9800000004</v>
      </c>
      <c r="P330" s="221">
        <v>0</v>
      </c>
      <c r="Q330" s="221">
        <v>0</v>
      </c>
      <c r="R330" s="221">
        <v>0</v>
      </c>
      <c r="S330" s="221">
        <f>O330-P330-Q330-R330</f>
        <v>8860767.9800000004</v>
      </c>
      <c r="T330" s="221">
        <f t="shared" si="128"/>
        <v>8916.0474743409141</v>
      </c>
      <c r="U330" s="221">
        <v>9083.7999999999993</v>
      </c>
      <c r="V330" s="27">
        <f t="shared" si="109"/>
        <v>0</v>
      </c>
    </row>
    <row r="331" spans="1:22" ht="35.25" x14ac:dyDescent="0.5">
      <c r="B331" s="215" t="s">
        <v>667</v>
      </c>
      <c r="C331" s="215"/>
      <c r="D331" s="216" t="s">
        <v>422</v>
      </c>
      <c r="E331" s="216" t="s">
        <v>422</v>
      </c>
      <c r="F331" s="216" t="s">
        <v>422</v>
      </c>
      <c r="G331" s="216" t="s">
        <v>422</v>
      </c>
      <c r="H331" s="216" t="s">
        <v>422</v>
      </c>
      <c r="I331" s="217">
        <f>I332+I333</f>
        <v>1194.5999999999999</v>
      </c>
      <c r="J331" s="217">
        <f t="shared" ref="J331:K331" si="139">J332+J333</f>
        <v>1107.8</v>
      </c>
      <c r="K331" s="218">
        <f t="shared" si="139"/>
        <v>55</v>
      </c>
      <c r="L331" s="216" t="s">
        <v>422</v>
      </c>
      <c r="M331" s="216" t="s">
        <v>422</v>
      </c>
      <c r="N331" s="219" t="s">
        <v>422</v>
      </c>
      <c r="O331" s="221">
        <v>12274100.550000001</v>
      </c>
      <c r="P331" s="221">
        <f t="shared" ref="P331:S331" si="140">P332+P333</f>
        <v>0</v>
      </c>
      <c r="Q331" s="221">
        <f t="shared" si="140"/>
        <v>0</v>
      </c>
      <c r="R331" s="221">
        <f t="shared" si="140"/>
        <v>0</v>
      </c>
      <c r="S331" s="221">
        <f t="shared" si="140"/>
        <v>12274100.550000001</v>
      </c>
      <c r="T331" s="221">
        <f t="shared" si="128"/>
        <v>10274.653063787044</v>
      </c>
      <c r="U331" s="221">
        <f>MAX(U332:U333)</f>
        <v>11698.39</v>
      </c>
      <c r="V331" s="27">
        <f t="shared" si="109"/>
        <v>0</v>
      </c>
    </row>
    <row r="332" spans="1:22" ht="35.25" x14ac:dyDescent="0.5">
      <c r="A332">
        <v>1</v>
      </c>
      <c r="B332" s="223">
        <f>SUBTOTAL(9,$A$198:A332)</f>
        <v>119</v>
      </c>
      <c r="C332" s="225" t="s">
        <v>210</v>
      </c>
      <c r="D332" s="216"/>
      <c r="E332" s="216">
        <v>1972</v>
      </c>
      <c r="F332" s="216" t="s">
        <v>419</v>
      </c>
      <c r="G332" s="216">
        <v>2</v>
      </c>
      <c r="H332" s="216" t="s">
        <v>319</v>
      </c>
      <c r="I332" s="217">
        <v>780.2</v>
      </c>
      <c r="J332" s="217">
        <v>723.9</v>
      </c>
      <c r="K332" s="218">
        <v>40</v>
      </c>
      <c r="L332" s="216" t="s">
        <v>417</v>
      </c>
      <c r="M332" s="216" t="s">
        <v>424</v>
      </c>
      <c r="N332" s="219" t="s">
        <v>425</v>
      </c>
      <c r="O332" s="221">
        <v>7426288.3500000006</v>
      </c>
      <c r="P332" s="221">
        <v>0</v>
      </c>
      <c r="Q332" s="221">
        <v>0</v>
      </c>
      <c r="R332" s="221">
        <v>0</v>
      </c>
      <c r="S332" s="221">
        <f>O332-P332-Q332-R332</f>
        <v>7426288.3500000006</v>
      </c>
      <c r="T332" s="221">
        <f t="shared" si="128"/>
        <v>9518.4418738784934</v>
      </c>
      <c r="U332" s="221">
        <v>9697.5300000000007</v>
      </c>
      <c r="V332" s="27">
        <f t="shared" si="109"/>
        <v>0</v>
      </c>
    </row>
    <row r="333" spans="1:22" ht="35.25" x14ac:dyDescent="0.5">
      <c r="A333">
        <v>1</v>
      </c>
      <c r="B333" s="223">
        <f>SUBTOTAL(9,$A$198:A333)</f>
        <v>120</v>
      </c>
      <c r="C333" s="225" t="s">
        <v>211</v>
      </c>
      <c r="D333" s="216"/>
      <c r="E333" s="216">
        <v>1952</v>
      </c>
      <c r="F333" s="216" t="s">
        <v>419</v>
      </c>
      <c r="G333" s="216">
        <v>2</v>
      </c>
      <c r="H333" s="216" t="s">
        <v>319</v>
      </c>
      <c r="I333" s="217">
        <v>414.4</v>
      </c>
      <c r="J333" s="217">
        <v>383.9</v>
      </c>
      <c r="K333" s="218">
        <v>15</v>
      </c>
      <c r="L333" s="216" t="s">
        <v>417</v>
      </c>
      <c r="M333" s="216" t="s">
        <v>424</v>
      </c>
      <c r="N333" s="219" t="s">
        <v>425</v>
      </c>
      <c r="O333" s="221">
        <v>4847812.2</v>
      </c>
      <c r="P333" s="221">
        <v>0</v>
      </c>
      <c r="Q333" s="221">
        <v>0</v>
      </c>
      <c r="R333" s="221">
        <v>0</v>
      </c>
      <c r="S333" s="221">
        <f>O333-P333-Q333-R333</f>
        <v>4847812.2</v>
      </c>
      <c r="T333" s="221">
        <f t="shared" si="128"/>
        <v>11698.388513513515</v>
      </c>
      <c r="U333" s="221">
        <v>11698.39</v>
      </c>
      <c r="V333" s="27">
        <f t="shared" si="109"/>
        <v>0</v>
      </c>
    </row>
    <row r="334" spans="1:22" ht="35.25" x14ac:dyDescent="0.5">
      <c r="B334" s="215" t="s">
        <v>221</v>
      </c>
      <c r="C334" s="215"/>
      <c r="D334" s="216" t="s">
        <v>422</v>
      </c>
      <c r="E334" s="216" t="s">
        <v>422</v>
      </c>
      <c r="F334" s="216" t="s">
        <v>422</v>
      </c>
      <c r="G334" s="216" t="s">
        <v>422</v>
      </c>
      <c r="H334" s="216" t="s">
        <v>422</v>
      </c>
      <c r="I334" s="217">
        <f>I335+I336</f>
        <v>1364.6999999999998</v>
      </c>
      <c r="J334" s="217">
        <f t="shared" ref="J334:K334" si="141">J335+J336</f>
        <v>1270.2</v>
      </c>
      <c r="K334" s="218">
        <f t="shared" si="141"/>
        <v>56</v>
      </c>
      <c r="L334" s="216" t="s">
        <v>422</v>
      </c>
      <c r="M334" s="216" t="s">
        <v>422</v>
      </c>
      <c r="N334" s="219" t="s">
        <v>422</v>
      </c>
      <c r="O334" s="221">
        <v>10822302.309999999</v>
      </c>
      <c r="P334" s="221">
        <f t="shared" ref="P334:S334" si="142">P335+P336</f>
        <v>0</v>
      </c>
      <c r="Q334" s="221">
        <f t="shared" si="142"/>
        <v>0</v>
      </c>
      <c r="R334" s="221">
        <f t="shared" si="142"/>
        <v>0</v>
      </c>
      <c r="S334" s="221">
        <f t="shared" si="142"/>
        <v>10822302.309999999</v>
      </c>
      <c r="T334" s="221">
        <f t="shared" si="128"/>
        <v>7930.1694951271338</v>
      </c>
      <c r="U334" s="221">
        <f>MAX(U335:U336)</f>
        <v>11368.73</v>
      </c>
      <c r="V334" s="27">
        <f t="shared" ref="V334:V397" si="143">O334-P334-Q334-R334-S334</f>
        <v>0</v>
      </c>
    </row>
    <row r="335" spans="1:22" ht="35.25" x14ac:dyDescent="0.5">
      <c r="A335">
        <v>1</v>
      </c>
      <c r="B335" s="223">
        <f>SUBTOTAL(9,$A$198:A335)</f>
        <v>121</v>
      </c>
      <c r="C335" s="225" t="s">
        <v>218</v>
      </c>
      <c r="D335" s="216"/>
      <c r="E335" s="216">
        <v>1964</v>
      </c>
      <c r="F335" s="216" t="s">
        <v>419</v>
      </c>
      <c r="G335" s="216">
        <v>2</v>
      </c>
      <c r="H335" s="216" t="s">
        <v>319</v>
      </c>
      <c r="I335" s="217">
        <v>422.4</v>
      </c>
      <c r="J335" s="217">
        <v>380</v>
      </c>
      <c r="K335" s="218">
        <v>14</v>
      </c>
      <c r="L335" s="216" t="s">
        <v>417</v>
      </c>
      <c r="M335" s="216" t="s">
        <v>424</v>
      </c>
      <c r="N335" s="219" t="s">
        <v>425</v>
      </c>
      <c r="O335" s="221">
        <v>4559538.01</v>
      </c>
      <c r="P335" s="221">
        <v>0</v>
      </c>
      <c r="Q335" s="221">
        <v>0</v>
      </c>
      <c r="R335" s="221">
        <v>0</v>
      </c>
      <c r="S335" s="221">
        <f>O335-P335-Q335-R335</f>
        <v>4559538.01</v>
      </c>
      <c r="T335" s="221">
        <f t="shared" si="128"/>
        <v>10794.360819128788</v>
      </c>
      <c r="U335" s="221">
        <v>11368.73</v>
      </c>
      <c r="V335" s="27">
        <f t="shared" si="143"/>
        <v>0</v>
      </c>
    </row>
    <row r="336" spans="1:22" ht="35.25" x14ac:dyDescent="0.5">
      <c r="A336">
        <v>1</v>
      </c>
      <c r="B336" s="223">
        <f>SUBTOTAL(9,$A$198:A336)</f>
        <v>122</v>
      </c>
      <c r="C336" s="225" t="s">
        <v>219</v>
      </c>
      <c r="D336" s="216"/>
      <c r="E336" s="216">
        <v>1984</v>
      </c>
      <c r="F336" s="216" t="s">
        <v>420</v>
      </c>
      <c r="G336" s="216">
        <v>2</v>
      </c>
      <c r="H336" s="216" t="s">
        <v>319</v>
      </c>
      <c r="I336" s="217">
        <v>942.3</v>
      </c>
      <c r="J336" s="217">
        <v>890.2</v>
      </c>
      <c r="K336" s="218">
        <v>42</v>
      </c>
      <c r="L336" s="216" t="s">
        <v>417</v>
      </c>
      <c r="M336" s="216" t="s">
        <v>424</v>
      </c>
      <c r="N336" s="219" t="s">
        <v>425</v>
      </c>
      <c r="O336" s="221">
        <v>6262764.2999999998</v>
      </c>
      <c r="P336" s="221">
        <v>0</v>
      </c>
      <c r="Q336" s="221">
        <v>0</v>
      </c>
      <c r="R336" s="221">
        <v>0</v>
      </c>
      <c r="S336" s="221">
        <f>O336-P336-Q336-R336</f>
        <v>6262764.2999999998</v>
      </c>
      <c r="T336" s="221">
        <f t="shared" si="128"/>
        <v>6646.2531041069724</v>
      </c>
      <c r="U336" s="221">
        <v>6999.9</v>
      </c>
      <c r="V336" s="27">
        <f t="shared" si="143"/>
        <v>0</v>
      </c>
    </row>
    <row r="337" spans="1:22" ht="35.25" x14ac:dyDescent="0.5">
      <c r="B337" s="236" t="s">
        <v>694</v>
      </c>
      <c r="C337" s="236"/>
      <c r="D337" s="216" t="s">
        <v>422</v>
      </c>
      <c r="E337" s="216" t="s">
        <v>422</v>
      </c>
      <c r="F337" s="216" t="s">
        <v>422</v>
      </c>
      <c r="G337" s="216" t="s">
        <v>422</v>
      </c>
      <c r="H337" s="216" t="s">
        <v>422</v>
      </c>
      <c r="I337" s="217">
        <f>I338+I339</f>
        <v>12592.59</v>
      </c>
      <c r="J337" s="217">
        <f t="shared" ref="J337:K337" si="144">J338+J339</f>
        <v>11324.439999999999</v>
      </c>
      <c r="K337" s="218">
        <f t="shared" si="144"/>
        <v>473</v>
      </c>
      <c r="L337" s="216" t="s">
        <v>422</v>
      </c>
      <c r="M337" s="216" t="s">
        <v>422</v>
      </c>
      <c r="N337" s="219" t="s">
        <v>422</v>
      </c>
      <c r="O337" s="220">
        <f>O338+O339</f>
        <v>42260023.789999999</v>
      </c>
      <c r="P337" s="220">
        <f t="shared" ref="P337:S337" si="145">P338+P339</f>
        <v>0</v>
      </c>
      <c r="Q337" s="220">
        <f t="shared" si="145"/>
        <v>0</v>
      </c>
      <c r="R337" s="220">
        <f t="shared" si="145"/>
        <v>0</v>
      </c>
      <c r="S337" s="220">
        <f t="shared" si="145"/>
        <v>42260023.789999999</v>
      </c>
      <c r="T337" s="221">
        <f t="shared" si="128"/>
        <v>3355.9437566060674</v>
      </c>
      <c r="U337" s="221">
        <f>MAX(U338:U339)</f>
        <v>3422.87</v>
      </c>
      <c r="V337" s="27">
        <f t="shared" si="143"/>
        <v>0</v>
      </c>
    </row>
    <row r="338" spans="1:22" ht="35.25" x14ac:dyDescent="0.5">
      <c r="A338">
        <v>1</v>
      </c>
      <c r="B338" s="223">
        <f>SUBTOTAL(9,$A$198:A338)</f>
        <v>123</v>
      </c>
      <c r="C338" s="225" t="s">
        <v>282</v>
      </c>
      <c r="D338" s="216"/>
      <c r="E338" s="216">
        <v>1971</v>
      </c>
      <c r="F338" s="216" t="s">
        <v>419</v>
      </c>
      <c r="G338" s="216">
        <v>5</v>
      </c>
      <c r="H338" s="216" t="s">
        <v>323</v>
      </c>
      <c r="I338" s="217">
        <v>5777.35</v>
      </c>
      <c r="J338" s="217">
        <v>4509.2</v>
      </c>
      <c r="K338" s="218">
        <v>165</v>
      </c>
      <c r="L338" s="216" t="s">
        <v>417</v>
      </c>
      <c r="M338" s="216" t="s">
        <v>423</v>
      </c>
      <c r="N338" s="219" t="s">
        <v>468</v>
      </c>
      <c r="O338" s="221">
        <v>19409905.789999999</v>
      </c>
      <c r="P338" s="221">
        <v>0</v>
      </c>
      <c r="Q338" s="221">
        <v>0</v>
      </c>
      <c r="R338" s="221">
        <v>0</v>
      </c>
      <c r="S338" s="221">
        <f>O338-P338-Q338-R338</f>
        <v>19409905.789999999</v>
      </c>
      <c r="T338" s="221">
        <f t="shared" si="128"/>
        <v>3359.6555150717886</v>
      </c>
      <c r="U338" s="221">
        <v>3422.87</v>
      </c>
      <c r="V338" s="27">
        <f t="shared" si="143"/>
        <v>0</v>
      </c>
    </row>
    <row r="339" spans="1:22" ht="35.25" x14ac:dyDescent="0.5">
      <c r="A339">
        <v>1</v>
      </c>
      <c r="B339" s="223">
        <f>SUBTOTAL(9,$A$198:A339)</f>
        <v>124</v>
      </c>
      <c r="C339" s="225" t="s">
        <v>283</v>
      </c>
      <c r="D339" s="216"/>
      <c r="E339" s="216">
        <v>1978</v>
      </c>
      <c r="F339" s="216" t="s">
        <v>419</v>
      </c>
      <c r="G339" s="216">
        <v>5</v>
      </c>
      <c r="H339" s="216" t="s">
        <v>356</v>
      </c>
      <c r="I339" s="217">
        <v>6815.24</v>
      </c>
      <c r="J339" s="217">
        <v>6815.24</v>
      </c>
      <c r="K339" s="218">
        <v>308</v>
      </c>
      <c r="L339" s="216" t="s">
        <v>417</v>
      </c>
      <c r="M339" s="216" t="s">
        <v>423</v>
      </c>
      <c r="N339" s="219" t="s">
        <v>469</v>
      </c>
      <c r="O339" s="221">
        <v>22850118</v>
      </c>
      <c r="P339" s="221">
        <v>0</v>
      </c>
      <c r="Q339" s="221">
        <v>0</v>
      </c>
      <c r="R339" s="221">
        <v>0</v>
      </c>
      <c r="S339" s="221">
        <f>O339-P339-Q339-R339</f>
        <v>22850118</v>
      </c>
      <c r="T339" s="221">
        <f t="shared" si="128"/>
        <v>3352.7972602578925</v>
      </c>
      <c r="U339" s="221">
        <v>3415.88</v>
      </c>
      <c r="V339" s="27">
        <f t="shared" si="143"/>
        <v>0</v>
      </c>
    </row>
    <row r="340" spans="1:22" ht="35.25" x14ac:dyDescent="0.5">
      <c r="B340" s="236" t="s">
        <v>695</v>
      </c>
      <c r="C340" s="236"/>
      <c r="D340" s="216" t="s">
        <v>422</v>
      </c>
      <c r="E340" s="216" t="s">
        <v>422</v>
      </c>
      <c r="F340" s="216" t="s">
        <v>422</v>
      </c>
      <c r="G340" s="216" t="s">
        <v>422</v>
      </c>
      <c r="H340" s="216" t="s">
        <v>422</v>
      </c>
      <c r="I340" s="217">
        <f>SUM(I341:I343)</f>
        <v>13179.39</v>
      </c>
      <c r="J340" s="217">
        <f t="shared" ref="J340:K340" si="146">SUM(J341:J343)</f>
        <v>10869.499999999998</v>
      </c>
      <c r="K340" s="218">
        <f t="shared" si="146"/>
        <v>525</v>
      </c>
      <c r="L340" s="216" t="s">
        <v>422</v>
      </c>
      <c r="M340" s="216" t="s">
        <v>422</v>
      </c>
      <c r="N340" s="219" t="s">
        <v>422</v>
      </c>
      <c r="O340" s="220">
        <f>SUM(O341:O343)</f>
        <v>54198804.079999998</v>
      </c>
      <c r="P340" s="220">
        <f t="shared" ref="P340:S340" si="147">SUM(P341:P343)</f>
        <v>0</v>
      </c>
      <c r="Q340" s="220">
        <f t="shared" si="147"/>
        <v>0</v>
      </c>
      <c r="R340" s="220">
        <f t="shared" si="147"/>
        <v>0</v>
      </c>
      <c r="S340" s="220">
        <f t="shared" si="147"/>
        <v>54198804.079999998</v>
      </c>
      <c r="T340" s="221">
        <f t="shared" si="128"/>
        <v>4112.390943738671</v>
      </c>
      <c r="U340" s="221">
        <f>MAX(U341:U343)</f>
        <v>16645.080000000002</v>
      </c>
      <c r="V340" s="27">
        <f t="shared" si="143"/>
        <v>0</v>
      </c>
    </row>
    <row r="341" spans="1:22" ht="35.25" x14ac:dyDescent="0.5">
      <c r="A341">
        <v>1</v>
      </c>
      <c r="B341" s="223">
        <f>SUBTOTAL(9,$A$198:A341)</f>
        <v>125</v>
      </c>
      <c r="C341" s="225" t="s">
        <v>284</v>
      </c>
      <c r="D341" s="216"/>
      <c r="E341" s="216">
        <v>1986</v>
      </c>
      <c r="F341" s="216" t="s">
        <v>419</v>
      </c>
      <c r="G341" s="216">
        <v>5</v>
      </c>
      <c r="H341" s="216" t="s">
        <v>330</v>
      </c>
      <c r="I341" s="217">
        <v>8273.59</v>
      </c>
      <c r="J341" s="217">
        <v>5965.3</v>
      </c>
      <c r="K341" s="218">
        <v>244</v>
      </c>
      <c r="L341" s="216" t="s">
        <v>417</v>
      </c>
      <c r="M341" s="216" t="s">
        <v>423</v>
      </c>
      <c r="N341" s="219" t="s">
        <v>470</v>
      </c>
      <c r="O341" s="221">
        <v>20904001.079999998</v>
      </c>
      <c r="P341" s="221">
        <v>0</v>
      </c>
      <c r="Q341" s="221">
        <v>0</v>
      </c>
      <c r="R341" s="221">
        <v>0</v>
      </c>
      <c r="S341" s="221">
        <f>O341-P341-Q341-R341</f>
        <v>20904001.079999998</v>
      </c>
      <c r="T341" s="221">
        <f t="shared" ref="T341:T364" si="148">O341/I341</f>
        <v>2526.5937857689346</v>
      </c>
      <c r="U341" s="221">
        <v>3299.93</v>
      </c>
      <c r="V341" s="27">
        <f t="shared" si="143"/>
        <v>0</v>
      </c>
    </row>
    <row r="342" spans="1:22" ht="35.25" x14ac:dyDescent="0.5">
      <c r="A342">
        <v>1</v>
      </c>
      <c r="B342" s="223">
        <f>SUBTOTAL(9,$A$198:A342)</f>
        <v>126</v>
      </c>
      <c r="C342" s="225" t="s">
        <v>285</v>
      </c>
      <c r="D342" s="216"/>
      <c r="E342" s="216">
        <v>1982</v>
      </c>
      <c r="F342" s="216" t="s">
        <v>419</v>
      </c>
      <c r="G342" s="216">
        <v>5</v>
      </c>
      <c r="H342" s="216" t="s">
        <v>323</v>
      </c>
      <c r="I342" s="217">
        <v>4247.8</v>
      </c>
      <c r="J342" s="217">
        <v>4247.7999999999993</v>
      </c>
      <c r="K342" s="218">
        <v>239</v>
      </c>
      <c r="L342" s="216" t="s">
        <v>417</v>
      </c>
      <c r="M342" s="216" t="s">
        <v>424</v>
      </c>
      <c r="N342" s="219" t="s">
        <v>425</v>
      </c>
      <c r="O342" s="221">
        <v>22342338</v>
      </c>
      <c r="P342" s="221">
        <v>0</v>
      </c>
      <c r="Q342" s="221">
        <v>0</v>
      </c>
      <c r="R342" s="221">
        <v>0</v>
      </c>
      <c r="S342" s="221">
        <f>O342-P342-Q342-R342</f>
        <v>22342338</v>
      </c>
      <c r="T342" s="221">
        <f t="shared" si="148"/>
        <v>5259.74339658176</v>
      </c>
      <c r="U342" s="221">
        <v>5358.7</v>
      </c>
      <c r="V342" s="27">
        <f t="shared" si="143"/>
        <v>0</v>
      </c>
    </row>
    <row r="343" spans="1:22" ht="35.25" x14ac:dyDescent="0.5">
      <c r="A343">
        <v>1</v>
      </c>
      <c r="B343" s="223">
        <f>SUBTOTAL(9,$A$198:A343)</f>
        <v>127</v>
      </c>
      <c r="C343" s="225" t="s">
        <v>286</v>
      </c>
      <c r="D343" s="216"/>
      <c r="E343" s="216">
        <v>1961</v>
      </c>
      <c r="F343" s="216" t="s">
        <v>419</v>
      </c>
      <c r="G343" s="216">
        <v>2</v>
      </c>
      <c r="H343" s="216" t="s">
        <v>319</v>
      </c>
      <c r="I343" s="217">
        <v>658</v>
      </c>
      <c r="J343" s="217">
        <v>656.4</v>
      </c>
      <c r="K343" s="218">
        <v>42</v>
      </c>
      <c r="L343" s="216" t="s">
        <v>417</v>
      </c>
      <c r="M343" s="216" t="s">
        <v>424</v>
      </c>
      <c r="N343" s="219" t="s">
        <v>425</v>
      </c>
      <c r="O343" s="221">
        <v>10952465</v>
      </c>
      <c r="P343" s="221">
        <v>0</v>
      </c>
      <c r="Q343" s="221">
        <v>0</v>
      </c>
      <c r="R343" s="221">
        <v>0</v>
      </c>
      <c r="S343" s="221">
        <f>O343-P343-Q343-R343</f>
        <v>10952465</v>
      </c>
      <c r="T343" s="221">
        <f t="shared" si="148"/>
        <v>16645.08358662614</v>
      </c>
      <c r="U343" s="221">
        <v>16645.080000000002</v>
      </c>
      <c r="V343" s="27">
        <f t="shared" si="143"/>
        <v>0</v>
      </c>
    </row>
    <row r="344" spans="1:22" ht="35.25" x14ac:dyDescent="0.5">
      <c r="B344" s="215" t="s">
        <v>688</v>
      </c>
      <c r="C344" s="215"/>
      <c r="D344" s="216" t="s">
        <v>422</v>
      </c>
      <c r="E344" s="216" t="s">
        <v>422</v>
      </c>
      <c r="F344" s="216" t="s">
        <v>422</v>
      </c>
      <c r="G344" s="216" t="s">
        <v>422</v>
      </c>
      <c r="H344" s="216" t="s">
        <v>422</v>
      </c>
      <c r="I344" s="217">
        <f>I345</f>
        <v>3282.5</v>
      </c>
      <c r="J344" s="217">
        <f t="shared" ref="J344:K344" si="149">J345</f>
        <v>3068.9</v>
      </c>
      <c r="K344" s="218">
        <f t="shared" si="149"/>
        <v>156</v>
      </c>
      <c r="L344" s="216" t="s">
        <v>422</v>
      </c>
      <c r="M344" s="216" t="s">
        <v>422</v>
      </c>
      <c r="N344" s="219" t="s">
        <v>422</v>
      </c>
      <c r="O344" s="221">
        <v>13374774.17</v>
      </c>
      <c r="P344" s="221">
        <f t="shared" ref="P344:S344" si="150">P345</f>
        <v>0</v>
      </c>
      <c r="Q344" s="221">
        <f t="shared" si="150"/>
        <v>0</v>
      </c>
      <c r="R344" s="221">
        <f t="shared" si="150"/>
        <v>0</v>
      </c>
      <c r="S344" s="221">
        <f t="shared" si="150"/>
        <v>13374774.17</v>
      </c>
      <c r="T344" s="221">
        <f t="shared" si="148"/>
        <v>4074.5694348819497</v>
      </c>
      <c r="U344" s="221">
        <f>U345</f>
        <v>4294.7</v>
      </c>
      <c r="V344" s="27">
        <f t="shared" si="143"/>
        <v>0</v>
      </c>
    </row>
    <row r="345" spans="1:22" ht="35.25" x14ac:dyDescent="0.5">
      <c r="A345">
        <v>1</v>
      </c>
      <c r="B345" s="223">
        <f>SUBTOTAL(9,$A$198:A345)</f>
        <v>128</v>
      </c>
      <c r="C345" s="225" t="s">
        <v>224</v>
      </c>
      <c r="D345" s="216"/>
      <c r="E345" s="216">
        <v>1993</v>
      </c>
      <c r="F345" s="216" t="s">
        <v>420</v>
      </c>
      <c r="G345" s="216">
        <v>5</v>
      </c>
      <c r="H345" s="216" t="s">
        <v>321</v>
      </c>
      <c r="I345" s="217">
        <v>3282.5</v>
      </c>
      <c r="J345" s="217">
        <v>3068.9</v>
      </c>
      <c r="K345" s="218">
        <v>156</v>
      </c>
      <c r="L345" s="216" t="s">
        <v>417</v>
      </c>
      <c r="M345" s="216" t="s">
        <v>423</v>
      </c>
      <c r="N345" s="219" t="s">
        <v>453</v>
      </c>
      <c r="O345" s="221">
        <v>13374774.17</v>
      </c>
      <c r="P345" s="221">
        <v>0</v>
      </c>
      <c r="Q345" s="221">
        <v>0</v>
      </c>
      <c r="R345" s="221">
        <v>0</v>
      </c>
      <c r="S345" s="221">
        <f>O345-P345-Q345-R345</f>
        <v>13374774.17</v>
      </c>
      <c r="T345" s="221">
        <f t="shared" si="148"/>
        <v>4074.5694348819497</v>
      </c>
      <c r="U345" s="221">
        <v>4294.7</v>
      </c>
      <c r="V345" s="27">
        <f t="shared" si="143"/>
        <v>0</v>
      </c>
    </row>
    <row r="346" spans="1:22" ht="35.25" x14ac:dyDescent="0.5">
      <c r="B346" s="215" t="s">
        <v>241</v>
      </c>
      <c r="C346" s="215"/>
      <c r="D346" s="216" t="s">
        <v>422</v>
      </c>
      <c r="E346" s="216" t="s">
        <v>422</v>
      </c>
      <c r="F346" s="216" t="s">
        <v>422</v>
      </c>
      <c r="G346" s="216" t="s">
        <v>422</v>
      </c>
      <c r="H346" s="216" t="s">
        <v>422</v>
      </c>
      <c r="I346" s="217">
        <f>SUM(I347:I350)</f>
        <v>16010.28</v>
      </c>
      <c r="J346" s="217">
        <f t="shared" ref="J346:K346" si="151">SUM(J347:J350)</f>
        <v>10776.670000000002</v>
      </c>
      <c r="K346" s="218">
        <f t="shared" si="151"/>
        <v>498</v>
      </c>
      <c r="L346" s="216" t="s">
        <v>422</v>
      </c>
      <c r="M346" s="216" t="s">
        <v>422</v>
      </c>
      <c r="N346" s="219" t="s">
        <v>422</v>
      </c>
      <c r="O346" s="221">
        <v>50950786.43</v>
      </c>
      <c r="P346" s="221">
        <f t="shared" ref="P346:S346" si="152">SUM(P347:P350)</f>
        <v>0</v>
      </c>
      <c r="Q346" s="221">
        <f t="shared" si="152"/>
        <v>0</v>
      </c>
      <c r="R346" s="221">
        <f t="shared" si="152"/>
        <v>0</v>
      </c>
      <c r="S346" s="221">
        <f t="shared" si="152"/>
        <v>50950786.43</v>
      </c>
      <c r="T346" s="221">
        <f t="shared" si="148"/>
        <v>3182.3794730635564</v>
      </c>
      <c r="U346" s="221">
        <f>MAX(U347:U350)</f>
        <v>9526.2658603861655</v>
      </c>
      <c r="V346" s="27">
        <f t="shared" si="143"/>
        <v>0</v>
      </c>
    </row>
    <row r="347" spans="1:22" ht="35.25" x14ac:dyDescent="0.5">
      <c r="A347">
        <v>1</v>
      </c>
      <c r="B347" s="223">
        <f>SUBTOTAL(9,$A$198:A347)</f>
        <v>129</v>
      </c>
      <c r="C347" s="225" t="s">
        <v>232</v>
      </c>
      <c r="D347" s="216"/>
      <c r="E347" s="216">
        <v>1970</v>
      </c>
      <c r="F347" s="216" t="s">
        <v>419</v>
      </c>
      <c r="G347" s="216">
        <v>5</v>
      </c>
      <c r="H347" s="216" t="s">
        <v>323</v>
      </c>
      <c r="I347" s="217">
        <v>7694.8</v>
      </c>
      <c r="J347" s="217">
        <v>4790</v>
      </c>
      <c r="K347" s="218">
        <v>214</v>
      </c>
      <c r="L347" s="216" t="s">
        <v>417</v>
      </c>
      <c r="M347" s="216" t="s">
        <v>423</v>
      </c>
      <c r="N347" s="219" t="s">
        <v>456</v>
      </c>
      <c r="O347" s="221">
        <v>20716171</v>
      </c>
      <c r="P347" s="221">
        <v>0</v>
      </c>
      <c r="Q347" s="221">
        <v>0</v>
      </c>
      <c r="R347" s="221">
        <v>0</v>
      </c>
      <c r="S347" s="221">
        <f>O347-P347-Q347-R347</f>
        <v>20716171</v>
      </c>
      <c r="T347" s="221">
        <f t="shared" si="148"/>
        <v>2692.2299474970109</v>
      </c>
      <c r="U347" s="221">
        <v>2742.88</v>
      </c>
      <c r="V347" s="27">
        <f t="shared" si="143"/>
        <v>0</v>
      </c>
    </row>
    <row r="348" spans="1:22" ht="35.25" x14ac:dyDescent="0.5">
      <c r="A348">
        <v>1</v>
      </c>
      <c r="B348" s="223">
        <f>SUBTOTAL(9,$A$198:A348)</f>
        <v>130</v>
      </c>
      <c r="C348" s="225" t="s">
        <v>233</v>
      </c>
      <c r="D348" s="216"/>
      <c r="E348" s="216">
        <v>1961</v>
      </c>
      <c r="F348" s="216" t="s">
        <v>419</v>
      </c>
      <c r="G348" s="216">
        <v>3</v>
      </c>
      <c r="H348" s="216" t="s">
        <v>326</v>
      </c>
      <c r="I348" s="217">
        <v>2339.17</v>
      </c>
      <c r="J348" s="217">
        <v>1530.17</v>
      </c>
      <c r="K348" s="218">
        <v>73</v>
      </c>
      <c r="L348" s="216" t="s">
        <v>417</v>
      </c>
      <c r="M348" s="216" t="s">
        <v>423</v>
      </c>
      <c r="N348" s="219" t="s">
        <v>454</v>
      </c>
      <c r="O348" s="221">
        <v>10917278.6</v>
      </c>
      <c r="P348" s="221">
        <v>0</v>
      </c>
      <c r="Q348" s="221">
        <v>0</v>
      </c>
      <c r="R348" s="221">
        <v>0</v>
      </c>
      <c r="S348" s="221">
        <f>O348-P348-Q348-R348</f>
        <v>10917278.6</v>
      </c>
      <c r="T348" s="221">
        <f t="shared" si="148"/>
        <v>4667.1591205427567</v>
      </c>
      <c r="U348" s="221">
        <v>4754.97</v>
      </c>
      <c r="V348" s="27">
        <f t="shared" si="143"/>
        <v>0</v>
      </c>
    </row>
    <row r="349" spans="1:22" ht="35.25" x14ac:dyDescent="0.5">
      <c r="A349">
        <v>1</v>
      </c>
      <c r="B349" s="223">
        <f>SUBTOTAL(9,$A$198:A349)</f>
        <v>131</v>
      </c>
      <c r="C349" s="225" t="s">
        <v>234</v>
      </c>
      <c r="D349" s="216"/>
      <c r="E349" s="216">
        <v>1985</v>
      </c>
      <c r="F349" s="216" t="s">
        <v>420</v>
      </c>
      <c r="G349" s="216">
        <v>5</v>
      </c>
      <c r="H349" s="216" t="s">
        <v>334</v>
      </c>
      <c r="I349" s="217">
        <v>5363.62</v>
      </c>
      <c r="J349" s="217">
        <v>3901.8</v>
      </c>
      <c r="K349" s="218">
        <v>180</v>
      </c>
      <c r="L349" s="216" t="s">
        <v>417</v>
      </c>
      <c r="M349" s="216" t="s">
        <v>423</v>
      </c>
      <c r="N349" s="219" t="s">
        <v>454</v>
      </c>
      <c r="O349" s="221">
        <v>13480689</v>
      </c>
      <c r="P349" s="221">
        <v>0</v>
      </c>
      <c r="Q349" s="221">
        <v>0</v>
      </c>
      <c r="R349" s="221">
        <v>0</v>
      </c>
      <c r="S349" s="221">
        <f>O349-P349-Q349-R349</f>
        <v>13480689</v>
      </c>
      <c r="T349" s="221">
        <f t="shared" si="148"/>
        <v>2513.3564644773492</v>
      </c>
      <c r="U349" s="221">
        <v>2513.36</v>
      </c>
      <c r="V349" s="27">
        <f t="shared" si="143"/>
        <v>0</v>
      </c>
    </row>
    <row r="350" spans="1:22" ht="35.25" x14ac:dyDescent="0.5">
      <c r="A350">
        <v>1</v>
      </c>
      <c r="B350" s="223">
        <f>SUBTOTAL(9,$A$198:A350)</f>
        <v>132</v>
      </c>
      <c r="C350" s="225" t="s">
        <v>235</v>
      </c>
      <c r="D350" s="216"/>
      <c r="E350" s="216">
        <v>1991</v>
      </c>
      <c r="F350" s="216" t="s">
        <v>420</v>
      </c>
      <c r="G350" s="216">
        <v>2</v>
      </c>
      <c r="H350" s="216" t="s">
        <v>319</v>
      </c>
      <c r="I350" s="217">
        <v>612.69000000000005</v>
      </c>
      <c r="J350" s="217">
        <v>554.70000000000005</v>
      </c>
      <c r="K350" s="218">
        <v>31</v>
      </c>
      <c r="L350" s="216" t="s">
        <v>417</v>
      </c>
      <c r="M350" s="216" t="s">
        <v>424</v>
      </c>
      <c r="N350" s="219" t="s">
        <v>425</v>
      </c>
      <c r="O350" s="221">
        <v>5836647.8300000001</v>
      </c>
      <c r="P350" s="221">
        <v>0</v>
      </c>
      <c r="Q350" s="221">
        <v>0</v>
      </c>
      <c r="R350" s="221">
        <v>0</v>
      </c>
      <c r="S350" s="221">
        <f>O350-P350-Q350-R350</f>
        <v>5836647.8300000001</v>
      </c>
      <c r="T350" s="221">
        <f t="shared" si="148"/>
        <v>9526.2658603861655</v>
      </c>
      <c r="U350" s="221">
        <v>9526.2658603861655</v>
      </c>
      <c r="V350" s="27">
        <f t="shared" si="143"/>
        <v>0</v>
      </c>
    </row>
    <row r="351" spans="1:22" ht="35.25" x14ac:dyDescent="0.5">
      <c r="B351" s="215" t="s">
        <v>668</v>
      </c>
      <c r="C351" s="215"/>
      <c r="D351" s="216" t="s">
        <v>422</v>
      </c>
      <c r="E351" s="216" t="s">
        <v>422</v>
      </c>
      <c r="F351" s="216" t="s">
        <v>422</v>
      </c>
      <c r="G351" s="216" t="s">
        <v>422</v>
      </c>
      <c r="H351" s="216" t="s">
        <v>422</v>
      </c>
      <c r="I351" s="217">
        <f>I352+I353+I354+I355+I356</f>
        <v>3295.9</v>
      </c>
      <c r="J351" s="217">
        <f t="shared" ref="J351:K351" si="153">J352+J353+J354+J355+J356</f>
        <v>3233.8</v>
      </c>
      <c r="K351" s="218">
        <f t="shared" si="153"/>
        <v>100</v>
      </c>
      <c r="L351" s="216" t="s">
        <v>422</v>
      </c>
      <c r="M351" s="216" t="s">
        <v>422</v>
      </c>
      <c r="N351" s="219" t="s">
        <v>422</v>
      </c>
      <c r="O351" s="221">
        <f>O352+O353+O354+O355+O356</f>
        <v>37463657.939999998</v>
      </c>
      <c r="P351" s="221">
        <f t="shared" ref="P351:S351" si="154">P352+P353+P354+P355+P356</f>
        <v>0</v>
      </c>
      <c r="Q351" s="221">
        <f t="shared" si="154"/>
        <v>0</v>
      </c>
      <c r="R351" s="221">
        <f t="shared" si="154"/>
        <v>0</v>
      </c>
      <c r="S351" s="221">
        <f t="shared" si="154"/>
        <v>37463657.939999998</v>
      </c>
      <c r="T351" s="221">
        <f t="shared" si="148"/>
        <v>11366.745938893777</v>
      </c>
      <c r="U351" s="221">
        <f>MAX(U352:U356)</f>
        <v>19778.330000000002</v>
      </c>
      <c r="V351" s="27">
        <f t="shared" si="143"/>
        <v>0</v>
      </c>
    </row>
    <row r="352" spans="1:22" ht="35.25" x14ac:dyDescent="0.5">
      <c r="A352">
        <v>1</v>
      </c>
      <c r="B352" s="223">
        <f>SUBTOTAL(9,$A$198:A352)</f>
        <v>133</v>
      </c>
      <c r="C352" s="225" t="s">
        <v>246</v>
      </c>
      <c r="D352" s="216"/>
      <c r="E352" s="216">
        <v>1980</v>
      </c>
      <c r="F352" s="216" t="s">
        <v>419</v>
      </c>
      <c r="G352" s="216">
        <v>2</v>
      </c>
      <c r="H352" s="216" t="s">
        <v>321</v>
      </c>
      <c r="I352" s="217">
        <v>1123.2</v>
      </c>
      <c r="J352" s="217">
        <v>1123.2</v>
      </c>
      <c r="K352" s="218">
        <v>35</v>
      </c>
      <c r="L352" s="216" t="s">
        <v>417</v>
      </c>
      <c r="M352" s="216" t="s">
        <v>423</v>
      </c>
      <c r="N352" s="219" t="s">
        <v>460</v>
      </c>
      <c r="O352" s="221">
        <v>14582056.690000001</v>
      </c>
      <c r="P352" s="221">
        <v>0</v>
      </c>
      <c r="Q352" s="221">
        <v>0</v>
      </c>
      <c r="R352" s="221">
        <v>0</v>
      </c>
      <c r="S352" s="221">
        <f>O352-P352-Q352-R352</f>
        <v>14582056.690000001</v>
      </c>
      <c r="T352" s="221">
        <f t="shared" si="148"/>
        <v>12982.600329415955</v>
      </c>
      <c r="U352" s="221">
        <v>13226.86</v>
      </c>
      <c r="V352" s="27">
        <f t="shared" si="143"/>
        <v>0</v>
      </c>
    </row>
    <row r="353" spans="1:22" ht="35.25" x14ac:dyDescent="0.5">
      <c r="A353">
        <v>1</v>
      </c>
      <c r="B353" s="223">
        <f>SUBTOTAL(9,$A$198:A353)</f>
        <v>134</v>
      </c>
      <c r="C353" s="225" t="s">
        <v>247</v>
      </c>
      <c r="D353" s="216"/>
      <c r="E353" s="216">
        <v>1974</v>
      </c>
      <c r="F353" s="216" t="s">
        <v>419</v>
      </c>
      <c r="G353" s="216">
        <v>2</v>
      </c>
      <c r="H353" s="216" t="s">
        <v>319</v>
      </c>
      <c r="I353" s="217">
        <v>717.7</v>
      </c>
      <c r="J353" s="217">
        <v>717.7</v>
      </c>
      <c r="K353" s="218">
        <v>21</v>
      </c>
      <c r="L353" s="216" t="s">
        <v>417</v>
      </c>
      <c r="M353" s="216" t="s">
        <v>423</v>
      </c>
      <c r="N353" s="219" t="s">
        <v>460</v>
      </c>
      <c r="O353" s="221">
        <v>2009595.8399999999</v>
      </c>
      <c r="P353" s="221">
        <v>0</v>
      </c>
      <c r="Q353" s="221">
        <v>0</v>
      </c>
      <c r="R353" s="221">
        <v>0</v>
      </c>
      <c r="S353" s="221">
        <f>O353-P353-Q353-R353</f>
        <v>2009595.8399999999</v>
      </c>
      <c r="T353" s="221">
        <f t="shared" si="148"/>
        <v>2800.0499372997069</v>
      </c>
      <c r="U353" s="221">
        <v>2800.0499372997069</v>
      </c>
      <c r="V353" s="27">
        <f t="shared" si="143"/>
        <v>0</v>
      </c>
    </row>
    <row r="354" spans="1:22" ht="35.25" x14ac:dyDescent="0.5">
      <c r="A354">
        <v>1</v>
      </c>
      <c r="B354" s="223">
        <f>SUBTOTAL(9,$A$198:A354)</f>
        <v>135</v>
      </c>
      <c r="C354" s="225" t="s">
        <v>248</v>
      </c>
      <c r="D354" s="216"/>
      <c r="E354" s="216">
        <v>1965</v>
      </c>
      <c r="F354" s="216" t="s">
        <v>419</v>
      </c>
      <c r="G354" s="216">
        <v>2</v>
      </c>
      <c r="H354" s="216" t="s">
        <v>317</v>
      </c>
      <c r="I354" s="217">
        <v>300.8</v>
      </c>
      <c r="J354" s="217">
        <v>300.8</v>
      </c>
      <c r="K354" s="218">
        <v>12</v>
      </c>
      <c r="L354" s="216" t="s">
        <v>417</v>
      </c>
      <c r="M354" s="216" t="s">
        <v>423</v>
      </c>
      <c r="N354" s="219" t="s">
        <v>460</v>
      </c>
      <c r="O354" s="221">
        <v>5530096.8799999999</v>
      </c>
      <c r="P354" s="221">
        <v>0</v>
      </c>
      <c r="Q354" s="221">
        <v>0</v>
      </c>
      <c r="R354" s="221">
        <v>0</v>
      </c>
      <c r="S354" s="221">
        <f>O354-P354-Q354-R354</f>
        <v>5530096.8799999999</v>
      </c>
      <c r="T354" s="221">
        <f t="shared" si="148"/>
        <v>18384.630585106381</v>
      </c>
      <c r="U354" s="221">
        <v>18384.63</v>
      </c>
      <c r="V354" s="27">
        <f t="shared" si="143"/>
        <v>0</v>
      </c>
    </row>
    <row r="355" spans="1:22" ht="35.25" x14ac:dyDescent="0.5">
      <c r="A355">
        <v>1</v>
      </c>
      <c r="B355" s="223">
        <f>SUBTOTAL(9,$A$198:A355)</f>
        <v>136</v>
      </c>
      <c r="C355" s="225" t="s">
        <v>249</v>
      </c>
      <c r="D355" s="216"/>
      <c r="E355" s="216">
        <v>1975</v>
      </c>
      <c r="F355" s="216" t="s">
        <v>419</v>
      </c>
      <c r="G355" s="216">
        <v>2</v>
      </c>
      <c r="H355" s="216" t="s">
        <v>319</v>
      </c>
      <c r="I355" s="217">
        <v>782</v>
      </c>
      <c r="J355" s="217">
        <v>719.9</v>
      </c>
      <c r="K355" s="218">
        <v>16</v>
      </c>
      <c r="L355" s="216" t="s">
        <v>417</v>
      </c>
      <c r="M355" s="216" t="s">
        <v>423</v>
      </c>
      <c r="N355" s="219" t="s">
        <v>460</v>
      </c>
      <c r="O355" s="221">
        <v>8919162.7299999986</v>
      </c>
      <c r="P355" s="221">
        <v>0</v>
      </c>
      <c r="Q355" s="221">
        <v>0</v>
      </c>
      <c r="R355" s="221">
        <v>0</v>
      </c>
      <c r="S355" s="221">
        <f>O355-P355-Q355-R355</f>
        <v>8919162.7299999986</v>
      </c>
      <c r="T355" s="221">
        <f t="shared" si="148"/>
        <v>11405.578938618924</v>
      </c>
      <c r="U355" s="221">
        <v>11620.17</v>
      </c>
      <c r="V355" s="27">
        <f t="shared" si="143"/>
        <v>0</v>
      </c>
    </row>
    <row r="356" spans="1:22" ht="35.25" x14ac:dyDescent="0.5">
      <c r="A356">
        <v>1</v>
      </c>
      <c r="B356" s="223">
        <f>SUBTOTAL(9,$A$198:A356)</f>
        <v>137</v>
      </c>
      <c r="C356" s="225" t="s">
        <v>748</v>
      </c>
      <c r="D356" s="216"/>
      <c r="E356" s="216">
        <v>1965</v>
      </c>
      <c r="F356" s="216" t="s">
        <v>419</v>
      </c>
      <c r="G356" s="216">
        <v>2</v>
      </c>
      <c r="H356" s="216">
        <v>2</v>
      </c>
      <c r="I356" s="217">
        <v>372.2</v>
      </c>
      <c r="J356" s="217">
        <v>372.2</v>
      </c>
      <c r="K356" s="218">
        <v>16</v>
      </c>
      <c r="L356" s="216" t="s">
        <v>417</v>
      </c>
      <c r="M356" s="216" t="s">
        <v>424</v>
      </c>
      <c r="N356" s="219" t="s">
        <v>425</v>
      </c>
      <c r="O356" s="221">
        <v>6422745.7999999998</v>
      </c>
      <c r="P356" s="221">
        <v>0</v>
      </c>
      <c r="Q356" s="221">
        <v>0</v>
      </c>
      <c r="R356" s="221">
        <v>0</v>
      </c>
      <c r="S356" s="221">
        <f>O356-P356-Q356-R356</f>
        <v>6422745.7999999998</v>
      </c>
      <c r="T356" s="221">
        <f t="shared" si="148"/>
        <v>17256.168189145621</v>
      </c>
      <c r="U356" s="221">
        <v>19778.330000000002</v>
      </c>
      <c r="V356" s="27">
        <f t="shared" si="143"/>
        <v>0</v>
      </c>
    </row>
    <row r="357" spans="1:22" ht="35.25" x14ac:dyDescent="0.5">
      <c r="B357" s="215" t="s">
        <v>264</v>
      </c>
      <c r="C357" s="215"/>
      <c r="D357" s="216" t="s">
        <v>422</v>
      </c>
      <c r="E357" s="216" t="s">
        <v>422</v>
      </c>
      <c r="F357" s="216" t="s">
        <v>422</v>
      </c>
      <c r="G357" s="216" t="s">
        <v>422</v>
      </c>
      <c r="H357" s="216" t="s">
        <v>422</v>
      </c>
      <c r="I357" s="217">
        <f>SUM(I358:I359)</f>
        <v>4168.3999999999996</v>
      </c>
      <c r="J357" s="217">
        <f t="shared" ref="J357:K357" si="155">SUM(J358:J359)</f>
        <v>3405.5</v>
      </c>
      <c r="K357" s="218">
        <f t="shared" si="155"/>
        <v>133</v>
      </c>
      <c r="L357" s="216" t="s">
        <v>422</v>
      </c>
      <c r="M357" s="216" t="s">
        <v>422</v>
      </c>
      <c r="N357" s="219" t="s">
        <v>422</v>
      </c>
      <c r="O357" s="221">
        <v>21513820</v>
      </c>
      <c r="P357" s="221">
        <f t="shared" ref="P357:S357" si="156">SUM(P358:P359)</f>
        <v>0</v>
      </c>
      <c r="Q357" s="221">
        <f t="shared" si="156"/>
        <v>0</v>
      </c>
      <c r="R357" s="221">
        <f t="shared" si="156"/>
        <v>0</v>
      </c>
      <c r="S357" s="221">
        <f t="shared" si="156"/>
        <v>21513820</v>
      </c>
      <c r="T357" s="221">
        <f t="shared" si="148"/>
        <v>5161.1697533825936</v>
      </c>
      <c r="U357" s="221">
        <f>MAX(U358:U359)</f>
        <v>8097.83</v>
      </c>
      <c r="V357" s="27">
        <f t="shared" si="143"/>
        <v>0</v>
      </c>
    </row>
    <row r="358" spans="1:22" ht="35.25" x14ac:dyDescent="0.5">
      <c r="A358">
        <v>1</v>
      </c>
      <c r="B358" s="223">
        <f>SUBTOTAL(9,$A$198:A358)</f>
        <v>138</v>
      </c>
      <c r="C358" s="225" t="s">
        <v>257</v>
      </c>
      <c r="D358" s="216"/>
      <c r="E358" s="216">
        <v>2002</v>
      </c>
      <c r="F358" s="216" t="s">
        <v>419</v>
      </c>
      <c r="G358" s="216">
        <v>3</v>
      </c>
      <c r="H358" s="216" t="s">
        <v>319</v>
      </c>
      <c r="I358" s="217">
        <v>1897.4</v>
      </c>
      <c r="J358" s="217">
        <v>1897.3999999999999</v>
      </c>
      <c r="K358" s="218">
        <v>65</v>
      </c>
      <c r="L358" s="216" t="s">
        <v>417</v>
      </c>
      <c r="M358" s="216" t="s">
        <v>424</v>
      </c>
      <c r="N358" s="219" t="s">
        <v>425</v>
      </c>
      <c r="O358" s="221">
        <v>10000000</v>
      </c>
      <c r="P358" s="221">
        <v>0</v>
      </c>
      <c r="Q358" s="221">
        <v>0</v>
      </c>
      <c r="R358" s="221">
        <v>0</v>
      </c>
      <c r="S358" s="221">
        <f>O358-P358-Q358-R358</f>
        <v>10000000</v>
      </c>
      <c r="T358" s="221">
        <f t="shared" si="148"/>
        <v>5270.3699799725937</v>
      </c>
      <c r="U358" s="221">
        <v>8097.83</v>
      </c>
      <c r="V358" s="27">
        <f t="shared" si="143"/>
        <v>0</v>
      </c>
    </row>
    <row r="359" spans="1:22" ht="35.25" x14ac:dyDescent="0.5">
      <c r="A359">
        <v>1</v>
      </c>
      <c r="B359" s="223">
        <f>SUBTOTAL(9,$A$198:A359)</f>
        <v>139</v>
      </c>
      <c r="C359" s="225" t="s">
        <v>258</v>
      </c>
      <c r="D359" s="216"/>
      <c r="E359" s="216">
        <v>1996</v>
      </c>
      <c r="F359" s="216" t="s">
        <v>419</v>
      </c>
      <c r="G359" s="216">
        <v>3</v>
      </c>
      <c r="H359" s="216" t="s">
        <v>319</v>
      </c>
      <c r="I359" s="217">
        <v>2271</v>
      </c>
      <c r="J359" s="217">
        <v>1508.1</v>
      </c>
      <c r="K359" s="218">
        <v>68</v>
      </c>
      <c r="L359" s="216" t="s">
        <v>417</v>
      </c>
      <c r="M359" s="216" t="s">
        <v>424</v>
      </c>
      <c r="N359" s="219" t="s">
        <v>425</v>
      </c>
      <c r="O359" s="221">
        <v>11513820</v>
      </c>
      <c r="P359" s="221">
        <v>0</v>
      </c>
      <c r="Q359" s="221">
        <v>0</v>
      </c>
      <c r="R359" s="221">
        <v>0</v>
      </c>
      <c r="S359" s="221">
        <f>O359-P359-Q359-R359</f>
        <v>11513820</v>
      </c>
      <c r="T359" s="221">
        <f t="shared" si="148"/>
        <v>5069.9339498018498</v>
      </c>
      <c r="U359" s="221">
        <v>5740.56</v>
      </c>
      <c r="V359" s="27">
        <f t="shared" si="143"/>
        <v>0</v>
      </c>
    </row>
    <row r="360" spans="1:22" s="60" customFormat="1" ht="35.25" x14ac:dyDescent="0.5">
      <c r="B360" s="215" t="s">
        <v>266</v>
      </c>
      <c r="C360" s="215"/>
      <c r="D360" s="216" t="s">
        <v>422</v>
      </c>
      <c r="E360" s="216" t="s">
        <v>422</v>
      </c>
      <c r="F360" s="216" t="s">
        <v>422</v>
      </c>
      <c r="G360" s="216" t="s">
        <v>422</v>
      </c>
      <c r="H360" s="216" t="s">
        <v>422</v>
      </c>
      <c r="I360" s="217">
        <f>I361</f>
        <v>718.9</v>
      </c>
      <c r="J360" s="217">
        <f t="shared" ref="J360:K360" si="157">J361</f>
        <v>497</v>
      </c>
      <c r="K360" s="218">
        <f t="shared" si="157"/>
        <v>45</v>
      </c>
      <c r="L360" s="216" t="s">
        <v>422</v>
      </c>
      <c r="M360" s="216" t="s">
        <v>422</v>
      </c>
      <c r="N360" s="219" t="s">
        <v>422</v>
      </c>
      <c r="O360" s="221">
        <f>O361</f>
        <v>4110876.9499999997</v>
      </c>
      <c r="P360" s="221">
        <f t="shared" ref="P360:S360" si="158">P361</f>
        <v>0</v>
      </c>
      <c r="Q360" s="221">
        <f t="shared" si="158"/>
        <v>0</v>
      </c>
      <c r="R360" s="221">
        <f t="shared" si="158"/>
        <v>0</v>
      </c>
      <c r="S360" s="221">
        <f t="shared" si="158"/>
        <v>4110876.9499999997</v>
      </c>
      <c r="T360" s="221">
        <f t="shared" si="148"/>
        <v>5718.2875921546802</v>
      </c>
      <c r="U360" s="221">
        <f>U361</f>
        <v>21208.75</v>
      </c>
      <c r="V360" s="27">
        <f t="shared" si="143"/>
        <v>0</v>
      </c>
    </row>
    <row r="361" spans="1:22" ht="35.25" x14ac:dyDescent="0.5">
      <c r="A361">
        <v>1</v>
      </c>
      <c r="B361" s="223">
        <f>SUBTOTAL(9,$A$198:A361)</f>
        <v>140</v>
      </c>
      <c r="C361" s="225" t="s">
        <v>784</v>
      </c>
      <c r="D361" s="216"/>
      <c r="E361" s="216">
        <v>1965</v>
      </c>
      <c r="F361" s="216" t="s">
        <v>419</v>
      </c>
      <c r="G361" s="216">
        <v>2</v>
      </c>
      <c r="H361" s="216">
        <v>2</v>
      </c>
      <c r="I361" s="217">
        <v>718.9</v>
      </c>
      <c r="J361" s="217">
        <v>497</v>
      </c>
      <c r="K361" s="218">
        <v>45</v>
      </c>
      <c r="L361" s="216" t="s">
        <v>417</v>
      </c>
      <c r="M361" s="216" t="s">
        <v>423</v>
      </c>
      <c r="N361" s="219" t="s">
        <v>463</v>
      </c>
      <c r="O361" s="221">
        <v>4110876.9499999997</v>
      </c>
      <c r="P361" s="221">
        <v>0</v>
      </c>
      <c r="Q361" s="221">
        <v>0</v>
      </c>
      <c r="R361" s="221">
        <v>0</v>
      </c>
      <c r="S361" s="221">
        <f>O361-P361-Q361-R361</f>
        <v>4110876.9499999997</v>
      </c>
      <c r="T361" s="221">
        <f t="shared" si="148"/>
        <v>5718.2875921546802</v>
      </c>
      <c r="U361" s="221">
        <v>21208.75</v>
      </c>
      <c r="V361" s="27">
        <f t="shared" si="143"/>
        <v>0</v>
      </c>
    </row>
    <row r="362" spans="1:22" ht="35.25" x14ac:dyDescent="0.5">
      <c r="B362" s="215" t="s">
        <v>693</v>
      </c>
      <c r="C362" s="215"/>
      <c r="D362" s="216" t="s">
        <v>422</v>
      </c>
      <c r="E362" s="216" t="s">
        <v>422</v>
      </c>
      <c r="F362" s="216" t="s">
        <v>422</v>
      </c>
      <c r="G362" s="216" t="s">
        <v>422</v>
      </c>
      <c r="H362" s="216" t="s">
        <v>422</v>
      </c>
      <c r="I362" s="217">
        <f>I363+I364</f>
        <v>5766.2000000000007</v>
      </c>
      <c r="J362" s="217">
        <f t="shared" ref="J362:K362" si="159">J363+J364</f>
        <v>5187.8</v>
      </c>
      <c r="K362" s="218">
        <f t="shared" si="159"/>
        <v>210</v>
      </c>
      <c r="L362" s="216" t="s">
        <v>422</v>
      </c>
      <c r="M362" s="216" t="s">
        <v>422</v>
      </c>
      <c r="N362" s="219" t="s">
        <v>422</v>
      </c>
      <c r="O362" s="221">
        <f>O363+O364</f>
        <v>25224362.119999997</v>
      </c>
      <c r="P362" s="221">
        <f t="shared" ref="P362:S362" si="160">P363+P364</f>
        <v>0</v>
      </c>
      <c r="Q362" s="221">
        <f t="shared" si="160"/>
        <v>0</v>
      </c>
      <c r="R362" s="221">
        <f t="shared" si="160"/>
        <v>0</v>
      </c>
      <c r="S362" s="221">
        <f t="shared" si="160"/>
        <v>25224362.119999997</v>
      </c>
      <c r="T362" s="221">
        <f t="shared" si="148"/>
        <v>4374.5208490860523</v>
      </c>
      <c r="U362" s="221">
        <f>MAX(U363:U364)</f>
        <v>6833.6025657472746</v>
      </c>
      <c r="V362" s="27">
        <f t="shared" si="143"/>
        <v>0</v>
      </c>
    </row>
    <row r="363" spans="1:22" ht="35.25" x14ac:dyDescent="0.5">
      <c r="A363">
        <v>1</v>
      </c>
      <c r="B363" s="223">
        <f>SUBTOTAL(9,$A$198:A363)</f>
        <v>141</v>
      </c>
      <c r="C363" s="225" t="s">
        <v>270</v>
      </c>
      <c r="D363" s="216"/>
      <c r="E363" s="216">
        <v>1993</v>
      </c>
      <c r="F363" s="216" t="s">
        <v>420</v>
      </c>
      <c r="G363" s="216">
        <v>5</v>
      </c>
      <c r="H363" s="216" t="s">
        <v>321</v>
      </c>
      <c r="I363" s="217">
        <v>5142.6000000000004</v>
      </c>
      <c r="J363" s="217">
        <v>4621.5</v>
      </c>
      <c r="K363" s="218">
        <v>191</v>
      </c>
      <c r="L363" s="216" t="s">
        <v>417</v>
      </c>
      <c r="M363" s="216" t="s">
        <v>423</v>
      </c>
      <c r="N363" s="219" t="s">
        <v>464</v>
      </c>
      <c r="O363" s="221">
        <v>20962927.559999999</v>
      </c>
      <c r="P363" s="221">
        <v>0</v>
      </c>
      <c r="Q363" s="221">
        <v>0</v>
      </c>
      <c r="R363" s="221">
        <v>0</v>
      </c>
      <c r="S363" s="221">
        <f>O363-P363-Q363-R363</f>
        <v>20962927.559999999</v>
      </c>
      <c r="T363" s="221">
        <f t="shared" si="148"/>
        <v>4076.328619764321</v>
      </c>
      <c r="U363" s="221">
        <v>4391.09</v>
      </c>
      <c r="V363" s="27">
        <f t="shared" si="143"/>
        <v>0</v>
      </c>
    </row>
    <row r="364" spans="1:22" ht="35.25" x14ac:dyDescent="0.5">
      <c r="A364">
        <v>1</v>
      </c>
      <c r="B364" s="223">
        <f>SUBTOTAL(9,$A$198:A364)</f>
        <v>142</v>
      </c>
      <c r="C364" s="225" t="s">
        <v>747</v>
      </c>
      <c r="D364" s="216"/>
      <c r="E364" s="216">
        <v>1987</v>
      </c>
      <c r="F364" s="216" t="s">
        <v>420</v>
      </c>
      <c r="G364" s="216">
        <v>2</v>
      </c>
      <c r="H364" s="216">
        <v>2</v>
      </c>
      <c r="I364" s="217">
        <v>623.6</v>
      </c>
      <c r="J364" s="217">
        <v>566.29999999999995</v>
      </c>
      <c r="K364" s="218">
        <v>19</v>
      </c>
      <c r="L364" s="216" t="s">
        <v>417</v>
      </c>
      <c r="M364" s="216" t="s">
        <v>424</v>
      </c>
      <c r="N364" s="219" t="s">
        <v>425</v>
      </c>
      <c r="O364" s="221">
        <v>4261434.5600000005</v>
      </c>
      <c r="P364" s="221">
        <v>0</v>
      </c>
      <c r="Q364" s="221">
        <v>0</v>
      </c>
      <c r="R364" s="221">
        <v>0</v>
      </c>
      <c r="S364" s="221">
        <f>O364-P364-Q364-R364</f>
        <v>4261434.5600000005</v>
      </c>
      <c r="T364" s="221">
        <f t="shared" si="148"/>
        <v>6833.6025657472746</v>
      </c>
      <c r="U364" s="221">
        <f>T364</f>
        <v>6833.6025657472746</v>
      </c>
      <c r="V364" s="27">
        <f t="shared" si="143"/>
        <v>0</v>
      </c>
    </row>
    <row r="365" spans="1:22" ht="35.25" x14ac:dyDescent="0.5">
      <c r="A365">
        <v>1</v>
      </c>
      <c r="B365" s="215" t="s">
        <v>517</v>
      </c>
      <c r="C365" s="215"/>
      <c r="D365" s="216" t="s">
        <v>422</v>
      </c>
      <c r="E365" s="216" t="s">
        <v>422</v>
      </c>
      <c r="F365" s="216" t="s">
        <v>422</v>
      </c>
      <c r="G365" s="216" t="s">
        <v>422</v>
      </c>
      <c r="H365" s="216" t="s">
        <v>422</v>
      </c>
      <c r="I365" s="217">
        <f>I366+I394+I400+I414+I425+I439+I442+I444+I446+I449+I452+I454+I462+I466+I475+I477+I483+I487+I489+I495+I502+I504+I506+I508+I510</f>
        <v>329767.40999999997</v>
      </c>
      <c r="J365" s="217">
        <f>J366+J394+J400+J414+J425+J439+J442+J444+J446+J449+J452+J454+J462+J466+J475+J477+J483+J487+J489+J495+J502+J504+J506+J508+J510</f>
        <v>264159.50999999995</v>
      </c>
      <c r="K365" s="218">
        <f>K366+K394+K400+K414+K425+K439+K442+K444+K446+K449+K452+K454+K462+K466+K475+K477+K483+K487+K489+K495+K502+K504+K506+K508+K510</f>
        <v>12608</v>
      </c>
      <c r="L365" s="216" t="s">
        <v>422</v>
      </c>
      <c r="M365" s="216" t="s">
        <v>422</v>
      </c>
      <c r="N365" s="219" t="s">
        <v>422</v>
      </c>
      <c r="O365" s="220">
        <f>O366+O394+O400+O414+O425+O439+O442+O444+O446+O449+O452+O454+O462+O466+O475+O477+O483+O487+O489+O495+O502+O504+O506+O508+O510</f>
        <v>1320973690.3</v>
      </c>
      <c r="P365" s="220">
        <f>P366+P394+P400+P414+P425+P439+P442+P444+P446+P449+P452+P454+P462+P466+P475+P477+P483+P487+P489+P495+P502+P504+P506+P508+P510</f>
        <v>0</v>
      </c>
      <c r="Q365" s="220">
        <f>Q366+Q394+Q400+Q414+Q425+Q439+Q442+Q444+Q446+Q449+Q452+Q454+Q462+Q466+Q475+Q477+Q483+Q487+Q489+Q495+Q502+Q504+Q506+Q508+Q510</f>
        <v>0</v>
      </c>
      <c r="R365" s="220">
        <f>R366+R394+R400+R414+R425+R439+R442+R444+R446+R449+R452+R454+R462+R466+R475+R477+R483+R487+R489+R495+R502+R504+R506+R508+R510</f>
        <v>0</v>
      </c>
      <c r="S365" s="220">
        <f>S366+S394+S400+S414+S425+S439+S442+S444+S446+S449+S452+S454+S462+S466+S475+S477+S483+S487+S489+S495+S502+S504+S506+S508+S510</f>
        <v>1320973690.3</v>
      </c>
      <c r="T365" s="221">
        <f t="shared" si="2"/>
        <v>4005.7739189570007</v>
      </c>
      <c r="U365" s="221">
        <f>MAX(U366:U511)</f>
        <v>24957.11</v>
      </c>
      <c r="V365" s="27">
        <f t="shared" si="143"/>
        <v>0</v>
      </c>
    </row>
    <row r="366" spans="1:22" ht="35.25" x14ac:dyDescent="0.5">
      <c r="B366" s="215" t="s">
        <v>413</v>
      </c>
      <c r="C366" s="222"/>
      <c r="D366" s="216" t="s">
        <v>422</v>
      </c>
      <c r="E366" s="216" t="s">
        <v>422</v>
      </c>
      <c r="F366" s="216" t="s">
        <v>422</v>
      </c>
      <c r="G366" s="216" t="s">
        <v>422</v>
      </c>
      <c r="H366" s="216" t="s">
        <v>422</v>
      </c>
      <c r="I366" s="217">
        <f>SUM(I367:I393)</f>
        <v>113574.21000000002</v>
      </c>
      <c r="J366" s="217">
        <f>SUM(J367:J393)</f>
        <v>92788.949999999983</v>
      </c>
      <c r="K366" s="218">
        <f>SUM(K367:K393)</f>
        <v>4446</v>
      </c>
      <c r="L366" s="216" t="s">
        <v>422</v>
      </c>
      <c r="M366" s="216" t="s">
        <v>422</v>
      </c>
      <c r="N366" s="219" t="s">
        <v>422</v>
      </c>
      <c r="O366" s="221">
        <f>SUM(O367:O393)</f>
        <v>333700934.19999999</v>
      </c>
      <c r="P366" s="221">
        <f t="shared" ref="P366:S366" si="161">SUM(P367:P393)</f>
        <v>0</v>
      </c>
      <c r="Q366" s="221">
        <f t="shared" si="161"/>
        <v>0</v>
      </c>
      <c r="R366" s="221">
        <f t="shared" si="161"/>
        <v>0</v>
      </c>
      <c r="S366" s="221">
        <f t="shared" si="161"/>
        <v>333700934.19999999</v>
      </c>
      <c r="T366" s="221">
        <f t="shared" si="2"/>
        <v>2938.1752617957891</v>
      </c>
      <c r="U366" s="221">
        <f>MAX(U367:U393)</f>
        <v>15760.79</v>
      </c>
      <c r="V366" s="27">
        <f t="shared" si="143"/>
        <v>0</v>
      </c>
    </row>
    <row r="367" spans="1:22" ht="35.25" x14ac:dyDescent="0.5">
      <c r="A367">
        <v>1</v>
      </c>
      <c r="B367" s="223">
        <f>SUBTOTAL(9,$A$367:A367)</f>
        <v>1</v>
      </c>
      <c r="C367" s="225" t="s">
        <v>84</v>
      </c>
      <c r="D367" s="216"/>
      <c r="E367" s="216">
        <v>1973</v>
      </c>
      <c r="F367" s="216" t="s">
        <v>419</v>
      </c>
      <c r="G367" s="216">
        <v>5</v>
      </c>
      <c r="H367" s="216">
        <v>1</v>
      </c>
      <c r="I367" s="217">
        <v>912.4</v>
      </c>
      <c r="J367" s="217">
        <v>550.29999999999995</v>
      </c>
      <c r="K367" s="218">
        <v>21</v>
      </c>
      <c r="L367" s="216" t="s">
        <v>417</v>
      </c>
      <c r="M367" s="216" t="s">
        <v>423</v>
      </c>
      <c r="N367" s="219" t="s">
        <v>440</v>
      </c>
      <c r="O367" s="221">
        <v>2845203.85</v>
      </c>
      <c r="P367" s="221">
        <v>0</v>
      </c>
      <c r="Q367" s="221">
        <v>0</v>
      </c>
      <c r="R367" s="221">
        <v>0</v>
      </c>
      <c r="S367" s="221">
        <f t="shared" si="3"/>
        <v>2845203.85</v>
      </c>
      <c r="T367" s="221">
        <f t="shared" si="2"/>
        <v>3118.3733559842176</v>
      </c>
      <c r="U367" s="221">
        <v>3118.52</v>
      </c>
      <c r="V367" s="27">
        <f t="shared" si="143"/>
        <v>0</v>
      </c>
    </row>
    <row r="368" spans="1:22" ht="35.25" x14ac:dyDescent="0.5">
      <c r="A368">
        <v>1</v>
      </c>
      <c r="B368" s="223">
        <f>SUBTOTAL(9,$A$367:A368)</f>
        <v>2</v>
      </c>
      <c r="C368" s="225" t="s">
        <v>85</v>
      </c>
      <c r="D368" s="216"/>
      <c r="E368" s="216">
        <v>1949</v>
      </c>
      <c r="F368" s="216" t="s">
        <v>419</v>
      </c>
      <c r="G368" s="216">
        <v>2</v>
      </c>
      <c r="H368" s="216">
        <v>2</v>
      </c>
      <c r="I368" s="217">
        <v>940</v>
      </c>
      <c r="J368" s="217">
        <v>872</v>
      </c>
      <c r="K368" s="218">
        <v>31</v>
      </c>
      <c r="L368" s="216" t="s">
        <v>417</v>
      </c>
      <c r="M368" s="216" t="s">
        <v>423</v>
      </c>
      <c r="N368" s="219" t="s">
        <v>440</v>
      </c>
      <c r="O368" s="221">
        <v>10179912.560000001</v>
      </c>
      <c r="P368" s="221">
        <v>0</v>
      </c>
      <c r="Q368" s="221">
        <v>0</v>
      </c>
      <c r="R368" s="221">
        <v>0</v>
      </c>
      <c r="S368" s="221">
        <f t="shared" si="3"/>
        <v>10179912.560000001</v>
      </c>
      <c r="T368" s="221">
        <f t="shared" si="2"/>
        <v>10829.694212765959</v>
      </c>
      <c r="U368" s="221">
        <v>10830.22</v>
      </c>
      <c r="V368" s="27">
        <f t="shared" si="143"/>
        <v>0</v>
      </c>
    </row>
    <row r="369" spans="1:22" ht="35.25" x14ac:dyDescent="0.5">
      <c r="A369">
        <v>1</v>
      </c>
      <c r="B369" s="223">
        <f>SUBTOTAL(9,$A$367:A369)</f>
        <v>3</v>
      </c>
      <c r="C369" s="225" t="s">
        <v>96</v>
      </c>
      <c r="D369" s="216"/>
      <c r="E369" s="216">
        <v>1949</v>
      </c>
      <c r="F369" s="216" t="s">
        <v>419</v>
      </c>
      <c r="G369" s="216">
        <v>2</v>
      </c>
      <c r="H369" s="216">
        <v>2</v>
      </c>
      <c r="I369" s="217">
        <v>875.4</v>
      </c>
      <c r="J369" s="217">
        <v>779.4</v>
      </c>
      <c r="K369" s="218">
        <v>32</v>
      </c>
      <c r="L369" s="216" t="s">
        <v>417</v>
      </c>
      <c r="M369" s="216" t="s">
        <v>423</v>
      </c>
      <c r="N369" s="219" t="s">
        <v>440</v>
      </c>
      <c r="O369" s="221">
        <v>9914029.1199999992</v>
      </c>
      <c r="P369" s="221">
        <v>0</v>
      </c>
      <c r="Q369" s="221">
        <v>0</v>
      </c>
      <c r="R369" s="221">
        <v>0</v>
      </c>
      <c r="S369" s="221">
        <f>O369-P369-Q369-R369</f>
        <v>9914029.1199999992</v>
      </c>
      <c r="T369" s="221">
        <f>O369/I369</f>
        <v>11325.141786611834</v>
      </c>
      <c r="U369" s="221">
        <v>12154.75</v>
      </c>
      <c r="V369" s="27">
        <f t="shared" si="143"/>
        <v>0</v>
      </c>
    </row>
    <row r="370" spans="1:22" ht="35.25" x14ac:dyDescent="0.5">
      <c r="A370">
        <v>1</v>
      </c>
      <c r="B370" s="223">
        <f>SUBTOTAL(9,$A$367:A370)</f>
        <v>4</v>
      </c>
      <c r="C370" s="225" t="s">
        <v>87</v>
      </c>
      <c r="D370" s="216"/>
      <c r="E370" s="216">
        <v>1982</v>
      </c>
      <c r="F370" s="216" t="s">
        <v>420</v>
      </c>
      <c r="G370" s="216">
        <v>9</v>
      </c>
      <c r="H370" s="216">
        <v>4</v>
      </c>
      <c r="I370" s="217">
        <v>9339.7000000000007</v>
      </c>
      <c r="J370" s="217">
        <v>7732.3</v>
      </c>
      <c r="K370" s="218">
        <v>368</v>
      </c>
      <c r="L370" s="216" t="s">
        <v>417</v>
      </c>
      <c r="M370" s="216" t="s">
        <v>423</v>
      </c>
      <c r="N370" s="219" t="s">
        <v>558</v>
      </c>
      <c r="O370" s="221">
        <v>15519264.18</v>
      </c>
      <c r="P370" s="221">
        <v>0</v>
      </c>
      <c r="Q370" s="221">
        <v>0</v>
      </c>
      <c r="R370" s="221">
        <v>0</v>
      </c>
      <c r="S370" s="221">
        <f t="shared" si="3"/>
        <v>15519264.18</v>
      </c>
      <c r="T370" s="221">
        <f t="shared" si="2"/>
        <v>1661.6448258509372</v>
      </c>
      <c r="U370" s="221">
        <v>1661.73</v>
      </c>
      <c r="V370" s="27">
        <f t="shared" si="143"/>
        <v>0</v>
      </c>
    </row>
    <row r="371" spans="1:22" ht="35.25" x14ac:dyDescent="0.5">
      <c r="A371">
        <v>1</v>
      </c>
      <c r="B371" s="223">
        <f>SUBTOTAL(9,$A$367:A371)</f>
        <v>5</v>
      </c>
      <c r="C371" s="225" t="s">
        <v>88</v>
      </c>
      <c r="D371" s="216"/>
      <c r="E371" s="216">
        <v>1991</v>
      </c>
      <c r="F371" s="216" t="s">
        <v>420</v>
      </c>
      <c r="G371" s="216">
        <v>9</v>
      </c>
      <c r="H371" s="216">
        <v>3</v>
      </c>
      <c r="I371" s="217">
        <v>7671.8</v>
      </c>
      <c r="J371" s="217">
        <v>6295.6</v>
      </c>
      <c r="K371" s="218">
        <v>252</v>
      </c>
      <c r="L371" s="216" t="s">
        <v>417</v>
      </c>
      <c r="M371" s="216" t="s">
        <v>423</v>
      </c>
      <c r="N371" s="219" t="s">
        <v>558</v>
      </c>
      <c r="O371" s="221">
        <v>11966100</v>
      </c>
      <c r="P371" s="221">
        <v>0</v>
      </c>
      <c r="Q371" s="221">
        <v>0</v>
      </c>
      <c r="R371" s="221">
        <v>0</v>
      </c>
      <c r="S371" s="221">
        <f t="shared" si="3"/>
        <v>11966100</v>
      </c>
      <c r="T371" s="221">
        <f t="shared" si="2"/>
        <v>1559.7512969576892</v>
      </c>
      <c r="U371" s="221">
        <v>1795.41</v>
      </c>
      <c r="V371" s="27">
        <f t="shared" si="143"/>
        <v>0</v>
      </c>
    </row>
    <row r="372" spans="1:22" ht="35.25" x14ac:dyDescent="0.5">
      <c r="A372">
        <v>1</v>
      </c>
      <c r="B372" s="223">
        <f>SUBTOTAL(9,$A$367:A372)</f>
        <v>6</v>
      </c>
      <c r="C372" s="225" t="s">
        <v>90</v>
      </c>
      <c r="D372" s="216"/>
      <c r="E372" s="216">
        <v>1979</v>
      </c>
      <c r="F372" s="216" t="s">
        <v>419</v>
      </c>
      <c r="G372" s="216">
        <v>5</v>
      </c>
      <c r="H372" s="216">
        <v>12</v>
      </c>
      <c r="I372" s="217">
        <v>14458.6</v>
      </c>
      <c r="J372" s="217">
        <v>10705.28</v>
      </c>
      <c r="K372" s="218">
        <v>470</v>
      </c>
      <c r="L372" s="216" t="s">
        <v>417</v>
      </c>
      <c r="M372" s="216" t="s">
        <v>423</v>
      </c>
      <c r="N372" s="219" t="s">
        <v>557</v>
      </c>
      <c r="O372" s="221">
        <v>30431300</v>
      </c>
      <c r="P372" s="221">
        <v>0</v>
      </c>
      <c r="Q372" s="221">
        <v>0</v>
      </c>
      <c r="R372" s="221">
        <v>0</v>
      </c>
      <c r="S372" s="221">
        <f t="shared" si="3"/>
        <v>30431300</v>
      </c>
      <c r="T372" s="221">
        <f t="shared" si="2"/>
        <v>2104.7196824035523</v>
      </c>
      <c r="U372" s="221">
        <v>2370.15</v>
      </c>
      <c r="V372" s="27">
        <f t="shared" si="143"/>
        <v>0</v>
      </c>
    </row>
    <row r="373" spans="1:22" ht="35.25" x14ac:dyDescent="0.5">
      <c r="A373">
        <v>1</v>
      </c>
      <c r="B373" s="223">
        <f>SUBTOTAL(9,$A$367:A373)</f>
        <v>7</v>
      </c>
      <c r="C373" s="225" t="s">
        <v>91</v>
      </c>
      <c r="D373" s="216"/>
      <c r="E373" s="216">
        <v>1966</v>
      </c>
      <c r="F373" s="216" t="s">
        <v>419</v>
      </c>
      <c r="G373" s="216">
        <v>5</v>
      </c>
      <c r="H373" s="216">
        <v>4</v>
      </c>
      <c r="I373" s="217">
        <v>3844.8</v>
      </c>
      <c r="J373" s="217">
        <v>3145.8</v>
      </c>
      <c r="K373" s="218">
        <v>190</v>
      </c>
      <c r="L373" s="216" t="s">
        <v>417</v>
      </c>
      <c r="M373" s="216" t="s">
        <v>423</v>
      </c>
      <c r="N373" s="219" t="s">
        <v>553</v>
      </c>
      <c r="O373" s="221">
        <v>14280629.119999999</v>
      </c>
      <c r="P373" s="221">
        <v>0</v>
      </c>
      <c r="Q373" s="221">
        <v>0</v>
      </c>
      <c r="R373" s="221">
        <v>0</v>
      </c>
      <c r="S373" s="221">
        <f t="shared" si="3"/>
        <v>14280629.119999999</v>
      </c>
      <c r="T373" s="221">
        <f t="shared" si="2"/>
        <v>3714.2709945900951</v>
      </c>
      <c r="U373" s="221">
        <v>3784.34</v>
      </c>
      <c r="V373" s="27">
        <f t="shared" si="143"/>
        <v>0</v>
      </c>
    </row>
    <row r="374" spans="1:22" ht="35.25" x14ac:dyDescent="0.5">
      <c r="A374">
        <v>1</v>
      </c>
      <c r="B374" s="223">
        <f>SUBTOTAL(9,$A$367:A374)</f>
        <v>8</v>
      </c>
      <c r="C374" s="225" t="s">
        <v>92</v>
      </c>
      <c r="D374" s="216"/>
      <c r="E374" s="216">
        <v>1974</v>
      </c>
      <c r="F374" s="216" t="s">
        <v>419</v>
      </c>
      <c r="G374" s="216">
        <v>2</v>
      </c>
      <c r="H374" s="216">
        <v>2</v>
      </c>
      <c r="I374" s="217">
        <v>796.8</v>
      </c>
      <c r="J374" s="217">
        <v>736.7</v>
      </c>
      <c r="K374" s="218">
        <v>66</v>
      </c>
      <c r="L374" s="216" t="s">
        <v>417</v>
      </c>
      <c r="M374" s="216" t="s">
        <v>423</v>
      </c>
      <c r="N374" s="219" t="s">
        <v>562</v>
      </c>
      <c r="O374" s="221">
        <v>8504911.4100000001</v>
      </c>
      <c r="P374" s="221">
        <v>0</v>
      </c>
      <c r="Q374" s="221">
        <v>0</v>
      </c>
      <c r="R374" s="221">
        <v>0</v>
      </c>
      <c r="S374" s="221">
        <f t="shared" si="3"/>
        <v>8504911.4100000001</v>
      </c>
      <c r="T374" s="221">
        <f t="shared" si="2"/>
        <v>10673.834600903616</v>
      </c>
      <c r="U374" s="221">
        <v>10875.18</v>
      </c>
      <c r="V374" s="27">
        <f t="shared" si="143"/>
        <v>0</v>
      </c>
    </row>
    <row r="375" spans="1:22" ht="35.25" x14ac:dyDescent="0.5">
      <c r="A375">
        <v>1</v>
      </c>
      <c r="B375" s="223">
        <f>SUBTOTAL(9,$A$367:A375)</f>
        <v>9</v>
      </c>
      <c r="C375" s="225" t="s">
        <v>93</v>
      </c>
      <c r="D375" s="216"/>
      <c r="E375" s="216">
        <v>1980</v>
      </c>
      <c r="F375" s="216" t="s">
        <v>419</v>
      </c>
      <c r="G375" s="216">
        <v>4</v>
      </c>
      <c r="H375" s="216" t="s">
        <v>317</v>
      </c>
      <c r="I375" s="217">
        <v>867.5</v>
      </c>
      <c r="J375" s="217">
        <v>765.5</v>
      </c>
      <c r="K375" s="218">
        <v>45</v>
      </c>
      <c r="L375" s="216" t="s">
        <v>417</v>
      </c>
      <c r="M375" s="216" t="s">
        <v>423</v>
      </c>
      <c r="N375" s="219" t="s">
        <v>562</v>
      </c>
      <c r="O375" s="221">
        <v>4747522.0799999991</v>
      </c>
      <c r="P375" s="221">
        <v>0</v>
      </c>
      <c r="Q375" s="221">
        <v>0</v>
      </c>
      <c r="R375" s="221">
        <v>0</v>
      </c>
      <c r="S375" s="221">
        <f t="shared" si="3"/>
        <v>4747522.0799999991</v>
      </c>
      <c r="T375" s="221">
        <f t="shared" si="2"/>
        <v>5472.6479308357339</v>
      </c>
      <c r="U375" s="221">
        <v>5575.88</v>
      </c>
      <c r="V375" s="27">
        <f t="shared" si="143"/>
        <v>0</v>
      </c>
    </row>
    <row r="376" spans="1:22" ht="35.25" x14ac:dyDescent="0.5">
      <c r="A376">
        <v>1</v>
      </c>
      <c r="B376" s="223">
        <f>SUBTOTAL(9,$A$367:A376)</f>
        <v>10</v>
      </c>
      <c r="C376" s="225" t="s">
        <v>95</v>
      </c>
      <c r="D376" s="216"/>
      <c r="E376" s="216">
        <v>1986</v>
      </c>
      <c r="F376" s="216" t="s">
        <v>419</v>
      </c>
      <c r="G376" s="216">
        <v>5</v>
      </c>
      <c r="H376" s="216">
        <v>3</v>
      </c>
      <c r="I376" s="217">
        <v>3458.6</v>
      </c>
      <c r="J376" s="217">
        <v>3220.2</v>
      </c>
      <c r="K376" s="218">
        <v>153</v>
      </c>
      <c r="L376" s="216" t="s">
        <v>417</v>
      </c>
      <c r="M376" s="216" t="s">
        <v>423</v>
      </c>
      <c r="N376" s="219" t="s">
        <v>562</v>
      </c>
      <c r="O376" s="221">
        <v>12219407.199999999</v>
      </c>
      <c r="P376" s="221">
        <v>0</v>
      </c>
      <c r="Q376" s="221">
        <v>0</v>
      </c>
      <c r="R376" s="221">
        <v>0</v>
      </c>
      <c r="S376" s="221">
        <f t="shared" si="3"/>
        <v>12219407.199999999</v>
      </c>
      <c r="T376" s="221">
        <f t="shared" si="2"/>
        <v>3533.050135893136</v>
      </c>
      <c r="U376" s="221">
        <v>4113.42</v>
      </c>
      <c r="V376" s="27">
        <f t="shared" si="143"/>
        <v>0</v>
      </c>
    </row>
    <row r="377" spans="1:22" ht="35.25" x14ac:dyDescent="0.5">
      <c r="A377">
        <v>1</v>
      </c>
      <c r="B377" s="223">
        <f>SUBTOTAL(9,$A$367:A377)</f>
        <v>11</v>
      </c>
      <c r="C377" s="225" t="s">
        <v>98</v>
      </c>
      <c r="D377" s="216"/>
      <c r="E377" s="216">
        <v>1961</v>
      </c>
      <c r="F377" s="216" t="s">
        <v>419</v>
      </c>
      <c r="G377" s="216">
        <v>4</v>
      </c>
      <c r="H377" s="216">
        <v>3</v>
      </c>
      <c r="I377" s="217">
        <v>2885.3</v>
      </c>
      <c r="J377" s="217">
        <v>2012.3</v>
      </c>
      <c r="K377" s="218">
        <v>125</v>
      </c>
      <c r="L377" s="216" t="s">
        <v>417</v>
      </c>
      <c r="M377" s="216" t="s">
        <v>423</v>
      </c>
      <c r="N377" s="219" t="s">
        <v>553</v>
      </c>
      <c r="O377" s="221">
        <v>11589525.949999999</v>
      </c>
      <c r="P377" s="221">
        <v>0</v>
      </c>
      <c r="Q377" s="221">
        <v>0</v>
      </c>
      <c r="R377" s="221">
        <v>0</v>
      </c>
      <c r="S377" s="221">
        <f t="shared" ref="S377:S413" si="162">O377-P377-Q377-R377</f>
        <v>11589525.949999999</v>
      </c>
      <c r="T377" s="221">
        <f t="shared" ref="T377:T413" si="163">O377/I377</f>
        <v>4016.7490208990394</v>
      </c>
      <c r="U377" s="221">
        <v>4092.52</v>
      </c>
      <c r="V377" s="27">
        <f t="shared" si="143"/>
        <v>0</v>
      </c>
    </row>
    <row r="378" spans="1:22" ht="35.25" x14ac:dyDescent="0.5">
      <c r="A378">
        <v>1</v>
      </c>
      <c r="B378" s="223">
        <f>SUBTOTAL(9,$A$367:A378)</f>
        <v>12</v>
      </c>
      <c r="C378" s="225" t="s">
        <v>99</v>
      </c>
      <c r="D378" s="216"/>
      <c r="E378" s="216">
        <v>1959</v>
      </c>
      <c r="F378" s="216" t="s">
        <v>419</v>
      </c>
      <c r="G378" s="216">
        <v>3</v>
      </c>
      <c r="H378" s="216">
        <v>3</v>
      </c>
      <c r="I378" s="217">
        <v>1812.5</v>
      </c>
      <c r="J378" s="217">
        <v>1681.3</v>
      </c>
      <c r="K378" s="218">
        <v>59</v>
      </c>
      <c r="L378" s="216" t="s">
        <v>417</v>
      </c>
      <c r="M378" s="216" t="s">
        <v>423</v>
      </c>
      <c r="N378" s="219" t="s">
        <v>549</v>
      </c>
      <c r="O378" s="221">
        <v>22308077.829999998</v>
      </c>
      <c r="P378" s="221">
        <v>0</v>
      </c>
      <c r="Q378" s="221">
        <v>0</v>
      </c>
      <c r="R378" s="221">
        <v>0</v>
      </c>
      <c r="S378" s="221">
        <f t="shared" si="162"/>
        <v>22308077.829999998</v>
      </c>
      <c r="T378" s="221">
        <f t="shared" si="163"/>
        <v>12307.905009655171</v>
      </c>
      <c r="U378" s="221">
        <v>12308.51</v>
      </c>
      <c r="V378" s="27">
        <f t="shared" si="143"/>
        <v>0</v>
      </c>
    </row>
    <row r="379" spans="1:22" ht="35.25" x14ac:dyDescent="0.5">
      <c r="A379">
        <v>1</v>
      </c>
      <c r="B379" s="223">
        <f>SUBTOTAL(9,$A$367:A379)</f>
        <v>13</v>
      </c>
      <c r="C379" s="225" t="s">
        <v>100</v>
      </c>
      <c r="D379" s="216"/>
      <c r="E379" s="216">
        <v>1960</v>
      </c>
      <c r="F379" s="216" t="s">
        <v>419</v>
      </c>
      <c r="G379" s="216">
        <v>5</v>
      </c>
      <c r="H379" s="216">
        <v>4</v>
      </c>
      <c r="I379" s="217">
        <v>4103.3</v>
      </c>
      <c r="J379" s="217">
        <v>3194</v>
      </c>
      <c r="K379" s="218">
        <v>142</v>
      </c>
      <c r="L379" s="216" t="s">
        <v>417</v>
      </c>
      <c r="M379" s="216" t="s">
        <v>423</v>
      </c>
      <c r="N379" s="219" t="s">
        <v>585</v>
      </c>
      <c r="O379" s="221">
        <v>22070732.829999998</v>
      </c>
      <c r="P379" s="221">
        <v>0</v>
      </c>
      <c r="Q379" s="221">
        <v>0</v>
      </c>
      <c r="R379" s="221">
        <v>0</v>
      </c>
      <c r="S379" s="221">
        <f t="shared" si="162"/>
        <v>22070732.829999998</v>
      </c>
      <c r="T379" s="221">
        <f t="shared" si="163"/>
        <v>5378.7763093120166</v>
      </c>
      <c r="U379" s="221">
        <v>5803.15</v>
      </c>
      <c r="V379" s="27">
        <f t="shared" si="143"/>
        <v>0</v>
      </c>
    </row>
    <row r="380" spans="1:22" ht="35.25" x14ac:dyDescent="0.5">
      <c r="A380">
        <v>1</v>
      </c>
      <c r="B380" s="223">
        <f>SUBTOTAL(9,$A$367:A380)</f>
        <v>14</v>
      </c>
      <c r="C380" s="225" t="s">
        <v>101</v>
      </c>
      <c r="D380" s="216"/>
      <c r="E380" s="216">
        <v>1987</v>
      </c>
      <c r="F380" s="216" t="s">
        <v>420</v>
      </c>
      <c r="G380" s="216">
        <v>9</v>
      </c>
      <c r="H380" s="216">
        <v>6</v>
      </c>
      <c r="I380" s="217">
        <v>12823.6</v>
      </c>
      <c r="J380" s="217">
        <v>11362.5</v>
      </c>
      <c r="K380" s="218">
        <v>636</v>
      </c>
      <c r="L380" s="216" t="s">
        <v>417</v>
      </c>
      <c r="M380" s="216" t="s">
        <v>423</v>
      </c>
      <c r="N380" s="219" t="s">
        <v>553</v>
      </c>
      <c r="O380" s="221">
        <v>23860864.310000002</v>
      </c>
      <c r="P380" s="221">
        <v>0</v>
      </c>
      <c r="Q380" s="221">
        <v>0</v>
      </c>
      <c r="R380" s="221">
        <v>0</v>
      </c>
      <c r="S380" s="221">
        <f t="shared" si="162"/>
        <v>23860864.310000002</v>
      </c>
      <c r="T380" s="221">
        <f t="shared" si="163"/>
        <v>1860.6993597741666</v>
      </c>
      <c r="U380" s="221">
        <v>1860.79</v>
      </c>
      <c r="V380" s="27">
        <f t="shared" si="143"/>
        <v>0</v>
      </c>
    </row>
    <row r="381" spans="1:22" ht="35.25" x14ac:dyDescent="0.5">
      <c r="A381">
        <v>1</v>
      </c>
      <c r="B381" s="223">
        <f>SUBTOTAL(9,$A$367:A381)</f>
        <v>15</v>
      </c>
      <c r="C381" s="225" t="s">
        <v>102</v>
      </c>
      <c r="D381" s="216"/>
      <c r="E381" s="216">
        <v>1969</v>
      </c>
      <c r="F381" s="216" t="s">
        <v>419</v>
      </c>
      <c r="G381" s="216">
        <v>5</v>
      </c>
      <c r="H381" s="216">
        <v>1</v>
      </c>
      <c r="I381" s="217">
        <v>2168.6</v>
      </c>
      <c r="J381" s="217">
        <v>1315.6</v>
      </c>
      <c r="K381" s="218">
        <v>157</v>
      </c>
      <c r="L381" s="216" t="s">
        <v>417</v>
      </c>
      <c r="M381" s="216" t="s">
        <v>423</v>
      </c>
      <c r="N381" s="219" t="s">
        <v>585</v>
      </c>
      <c r="O381" s="221">
        <v>8703714.9299999997</v>
      </c>
      <c r="P381" s="221">
        <v>0</v>
      </c>
      <c r="Q381" s="221">
        <v>0</v>
      </c>
      <c r="R381" s="221">
        <v>0</v>
      </c>
      <c r="S381" s="221">
        <f t="shared" si="162"/>
        <v>8703714.9299999997</v>
      </c>
      <c r="T381" s="221">
        <f t="shared" si="163"/>
        <v>4013.5179055611916</v>
      </c>
      <c r="U381" s="221">
        <v>4472.9399999999996</v>
      </c>
      <c r="V381" s="27">
        <f t="shared" si="143"/>
        <v>0</v>
      </c>
    </row>
    <row r="382" spans="1:22" ht="35.25" x14ac:dyDescent="0.5">
      <c r="A382">
        <v>1</v>
      </c>
      <c r="B382" s="223">
        <f>SUBTOTAL(9,$A$367:A382)</f>
        <v>16</v>
      </c>
      <c r="C382" s="225" t="s">
        <v>103</v>
      </c>
      <c r="D382" s="216"/>
      <c r="E382" s="216">
        <v>1989</v>
      </c>
      <c r="F382" s="216" t="s">
        <v>420</v>
      </c>
      <c r="G382" s="216">
        <v>9</v>
      </c>
      <c r="H382" s="216">
        <v>2</v>
      </c>
      <c r="I382" s="217">
        <v>4302.5</v>
      </c>
      <c r="J382" s="217">
        <v>3827.7</v>
      </c>
      <c r="K382" s="218">
        <v>187</v>
      </c>
      <c r="L382" s="216" t="s">
        <v>417</v>
      </c>
      <c r="M382" s="216" t="s">
        <v>423</v>
      </c>
      <c r="N382" s="219" t="s">
        <v>553</v>
      </c>
      <c r="O382" s="221">
        <v>7620148.7599999998</v>
      </c>
      <c r="P382" s="221">
        <v>0</v>
      </c>
      <c r="Q382" s="221">
        <v>0</v>
      </c>
      <c r="R382" s="221">
        <v>0</v>
      </c>
      <c r="S382" s="221">
        <f t="shared" si="162"/>
        <v>7620148.7599999998</v>
      </c>
      <c r="T382" s="221">
        <f t="shared" si="163"/>
        <v>1771.0979105171411</v>
      </c>
      <c r="U382" s="221">
        <v>1804.51</v>
      </c>
      <c r="V382" s="27">
        <f t="shared" si="143"/>
        <v>0</v>
      </c>
    </row>
    <row r="383" spans="1:22" ht="35.25" x14ac:dyDescent="0.5">
      <c r="A383">
        <v>1</v>
      </c>
      <c r="B383" s="223">
        <f>SUBTOTAL(9,$A$367:A383)</f>
        <v>17</v>
      </c>
      <c r="C383" s="225" t="s">
        <v>104</v>
      </c>
      <c r="D383" s="216"/>
      <c r="E383" s="216">
        <v>1963</v>
      </c>
      <c r="F383" s="216" t="s">
        <v>420</v>
      </c>
      <c r="G383" s="216">
        <v>5</v>
      </c>
      <c r="H383" s="216">
        <v>4</v>
      </c>
      <c r="I383" s="217">
        <v>3881.3</v>
      </c>
      <c r="J383" s="217">
        <v>3552.1</v>
      </c>
      <c r="K383" s="218">
        <v>208</v>
      </c>
      <c r="L383" s="216" t="s">
        <v>417</v>
      </c>
      <c r="M383" s="216" t="s">
        <v>423</v>
      </c>
      <c r="N383" s="219" t="s">
        <v>560</v>
      </c>
      <c r="O383" s="221">
        <v>13126711.630000001</v>
      </c>
      <c r="P383" s="221">
        <v>0</v>
      </c>
      <c r="Q383" s="221">
        <v>0</v>
      </c>
      <c r="R383" s="221">
        <v>0</v>
      </c>
      <c r="S383" s="221">
        <f t="shared" si="162"/>
        <v>13126711.630000001</v>
      </c>
      <c r="T383" s="221">
        <f t="shared" si="163"/>
        <v>3382.0399428026694</v>
      </c>
      <c r="U383" s="221">
        <v>3382.2</v>
      </c>
      <c r="V383" s="27">
        <f t="shared" si="143"/>
        <v>0</v>
      </c>
    </row>
    <row r="384" spans="1:22" ht="35.25" x14ac:dyDescent="0.5">
      <c r="A384">
        <v>1</v>
      </c>
      <c r="B384" s="223">
        <f>SUBTOTAL(9,$A$367:A384)</f>
        <v>18</v>
      </c>
      <c r="C384" s="225" t="s">
        <v>106</v>
      </c>
      <c r="D384" s="216"/>
      <c r="E384" s="216">
        <v>1956</v>
      </c>
      <c r="F384" s="216" t="s">
        <v>419</v>
      </c>
      <c r="G384" s="216">
        <v>2</v>
      </c>
      <c r="H384" s="216">
        <v>1</v>
      </c>
      <c r="I384" s="217">
        <v>432.9</v>
      </c>
      <c r="J384" s="217">
        <v>383</v>
      </c>
      <c r="K384" s="218">
        <v>21</v>
      </c>
      <c r="L384" s="216" t="s">
        <v>417</v>
      </c>
      <c r="M384" s="216" t="s">
        <v>423</v>
      </c>
      <c r="N384" s="219" t="s">
        <v>440</v>
      </c>
      <c r="O384" s="221">
        <v>6822519.6299999999</v>
      </c>
      <c r="P384" s="221">
        <v>0</v>
      </c>
      <c r="Q384" s="221">
        <v>0</v>
      </c>
      <c r="R384" s="221">
        <v>0</v>
      </c>
      <c r="S384" s="221">
        <f t="shared" si="162"/>
        <v>6822519.6299999999</v>
      </c>
      <c r="T384" s="221">
        <f t="shared" si="163"/>
        <v>15760.036105336107</v>
      </c>
      <c r="U384" s="221">
        <v>15760.79</v>
      </c>
      <c r="V384" s="27">
        <f t="shared" si="143"/>
        <v>0</v>
      </c>
    </row>
    <row r="385" spans="1:22" ht="35.25" x14ac:dyDescent="0.5">
      <c r="A385">
        <v>1</v>
      </c>
      <c r="B385" s="223">
        <f>SUBTOTAL(9,$A$367:A385)</f>
        <v>19</v>
      </c>
      <c r="C385" s="225" t="s">
        <v>107</v>
      </c>
      <c r="D385" s="216"/>
      <c r="E385" s="216">
        <v>1973</v>
      </c>
      <c r="F385" s="216" t="s">
        <v>419</v>
      </c>
      <c r="G385" s="216">
        <v>5</v>
      </c>
      <c r="H385" s="216">
        <v>6</v>
      </c>
      <c r="I385" s="217">
        <v>5300</v>
      </c>
      <c r="J385" s="217">
        <v>4737.7</v>
      </c>
      <c r="K385" s="218">
        <v>244</v>
      </c>
      <c r="L385" s="216" t="s">
        <v>417</v>
      </c>
      <c r="M385" s="216" t="s">
        <v>423</v>
      </c>
      <c r="N385" s="219" t="s">
        <v>558</v>
      </c>
      <c r="O385" s="221">
        <v>18105806.390000001</v>
      </c>
      <c r="P385" s="221">
        <v>0</v>
      </c>
      <c r="Q385" s="221">
        <v>0</v>
      </c>
      <c r="R385" s="221">
        <v>0</v>
      </c>
      <c r="S385" s="221">
        <f t="shared" si="162"/>
        <v>18105806.390000001</v>
      </c>
      <c r="T385" s="221">
        <f t="shared" si="163"/>
        <v>3416.1898849056606</v>
      </c>
      <c r="U385" s="221">
        <v>3416.36</v>
      </c>
      <c r="V385" s="27">
        <f t="shared" si="143"/>
        <v>0</v>
      </c>
    </row>
    <row r="386" spans="1:22" ht="35.25" x14ac:dyDescent="0.5">
      <c r="A386">
        <v>1</v>
      </c>
      <c r="B386" s="223">
        <f>SUBTOTAL(9,$A$367:A386)</f>
        <v>20</v>
      </c>
      <c r="C386" s="225" t="s">
        <v>108</v>
      </c>
      <c r="D386" s="216"/>
      <c r="E386" s="216">
        <v>1988</v>
      </c>
      <c r="F386" s="216" t="s">
        <v>419</v>
      </c>
      <c r="G386" s="216">
        <v>9</v>
      </c>
      <c r="H386" s="216">
        <v>3</v>
      </c>
      <c r="I386" s="217">
        <v>7536</v>
      </c>
      <c r="J386" s="217">
        <v>5697</v>
      </c>
      <c r="K386" s="218">
        <v>248</v>
      </c>
      <c r="L386" s="216" t="s">
        <v>417</v>
      </c>
      <c r="M386" s="216" t="s">
        <v>423</v>
      </c>
      <c r="N386" s="219" t="s">
        <v>566</v>
      </c>
      <c r="O386" s="221">
        <v>16051700</v>
      </c>
      <c r="P386" s="221">
        <v>0</v>
      </c>
      <c r="Q386" s="221">
        <v>0</v>
      </c>
      <c r="R386" s="221">
        <v>0</v>
      </c>
      <c r="S386" s="221">
        <f t="shared" si="162"/>
        <v>16051700</v>
      </c>
      <c r="T386" s="221">
        <f t="shared" si="163"/>
        <v>2130.0026539278133</v>
      </c>
      <c r="U386" s="221">
        <v>2378.67</v>
      </c>
      <c r="V386" s="27">
        <f t="shared" si="143"/>
        <v>0</v>
      </c>
    </row>
    <row r="387" spans="1:22" ht="35.25" x14ac:dyDescent="0.5">
      <c r="A387">
        <v>1</v>
      </c>
      <c r="B387" s="223">
        <f>SUBTOTAL(9,$A$367:A387)</f>
        <v>21</v>
      </c>
      <c r="C387" s="225" t="s">
        <v>109</v>
      </c>
      <c r="D387" s="216"/>
      <c r="E387" s="216">
        <v>1947</v>
      </c>
      <c r="F387" s="216" t="s">
        <v>419</v>
      </c>
      <c r="G387" s="216">
        <v>4</v>
      </c>
      <c r="H387" s="216">
        <v>2</v>
      </c>
      <c r="I387" s="217">
        <v>2381.3000000000002</v>
      </c>
      <c r="J387" s="217">
        <v>2099.9</v>
      </c>
      <c r="K387" s="218">
        <v>145</v>
      </c>
      <c r="L387" s="216" t="s">
        <v>417</v>
      </c>
      <c r="M387" s="216" t="s">
        <v>423</v>
      </c>
      <c r="N387" s="219" t="s">
        <v>549</v>
      </c>
      <c r="O387" s="221">
        <v>11462586.619999999</v>
      </c>
      <c r="P387" s="221">
        <v>0</v>
      </c>
      <c r="Q387" s="221">
        <v>0</v>
      </c>
      <c r="R387" s="221">
        <v>0</v>
      </c>
      <c r="S387" s="221">
        <f t="shared" si="162"/>
        <v>11462586.619999999</v>
      </c>
      <c r="T387" s="221">
        <f t="shared" si="163"/>
        <v>4813.583597194809</v>
      </c>
      <c r="U387" s="221">
        <v>4904.3900000000003</v>
      </c>
      <c r="V387" s="27">
        <f t="shared" si="143"/>
        <v>0</v>
      </c>
    </row>
    <row r="388" spans="1:22" ht="35.25" x14ac:dyDescent="0.5">
      <c r="A388">
        <v>1</v>
      </c>
      <c r="B388" s="223">
        <f>SUBTOTAL(9,$A$367:A388)</f>
        <v>22</v>
      </c>
      <c r="C388" s="225" t="s">
        <v>110</v>
      </c>
      <c r="D388" s="216"/>
      <c r="E388" s="216">
        <v>1977</v>
      </c>
      <c r="F388" s="216" t="s">
        <v>419</v>
      </c>
      <c r="G388" s="216">
        <v>2</v>
      </c>
      <c r="H388" s="216">
        <v>2</v>
      </c>
      <c r="I388" s="217">
        <v>782</v>
      </c>
      <c r="J388" s="217">
        <v>448.2</v>
      </c>
      <c r="K388" s="218">
        <v>37</v>
      </c>
      <c r="L388" s="216" t="s">
        <v>417</v>
      </c>
      <c r="M388" s="216" t="s">
        <v>423</v>
      </c>
      <c r="N388" s="219" t="s">
        <v>565</v>
      </c>
      <c r="O388" s="221">
        <v>8504911.3800000008</v>
      </c>
      <c r="P388" s="221">
        <v>0</v>
      </c>
      <c r="Q388" s="221">
        <v>0</v>
      </c>
      <c r="R388" s="221">
        <v>0</v>
      </c>
      <c r="S388" s="221">
        <f t="shared" si="162"/>
        <v>8504911.3800000008</v>
      </c>
      <c r="T388" s="221">
        <f t="shared" si="163"/>
        <v>10875.845754475704</v>
      </c>
      <c r="U388" s="221">
        <v>11081</v>
      </c>
      <c r="V388" s="27">
        <f t="shared" si="143"/>
        <v>0</v>
      </c>
    </row>
    <row r="389" spans="1:22" ht="35.25" x14ac:dyDescent="0.5">
      <c r="A389">
        <v>1</v>
      </c>
      <c r="B389" s="223">
        <f>SUBTOTAL(9,$A$367:A389)</f>
        <v>23</v>
      </c>
      <c r="C389" s="225" t="s">
        <v>111</v>
      </c>
      <c r="D389" s="216"/>
      <c r="E389" s="216">
        <v>1964</v>
      </c>
      <c r="F389" s="216" t="s">
        <v>419</v>
      </c>
      <c r="G389" s="216">
        <v>3</v>
      </c>
      <c r="H389" s="216">
        <v>1</v>
      </c>
      <c r="I389" s="217">
        <v>902.1</v>
      </c>
      <c r="J389" s="217">
        <v>830.3</v>
      </c>
      <c r="K389" s="218">
        <v>62</v>
      </c>
      <c r="L389" s="216" t="s">
        <v>417</v>
      </c>
      <c r="M389" s="216" t="s">
        <v>423</v>
      </c>
      <c r="N389" s="219" t="s">
        <v>585</v>
      </c>
      <c r="O389" s="221">
        <v>6473890.1600000001</v>
      </c>
      <c r="P389" s="221">
        <v>0</v>
      </c>
      <c r="Q389" s="221">
        <v>0</v>
      </c>
      <c r="R389" s="221">
        <v>0</v>
      </c>
      <c r="S389" s="221">
        <f t="shared" si="162"/>
        <v>6473890.1600000001</v>
      </c>
      <c r="T389" s="221">
        <f t="shared" si="163"/>
        <v>7176.466201086354</v>
      </c>
      <c r="U389" s="221">
        <v>7311.84</v>
      </c>
      <c r="V389" s="27">
        <f t="shared" si="143"/>
        <v>0</v>
      </c>
    </row>
    <row r="390" spans="1:22" ht="35.25" x14ac:dyDescent="0.5">
      <c r="A390">
        <v>1</v>
      </c>
      <c r="B390" s="223">
        <f>SUBTOTAL(9,$A$367:A390)</f>
        <v>24</v>
      </c>
      <c r="C390" s="225" t="s">
        <v>112</v>
      </c>
      <c r="D390" s="216"/>
      <c r="E390" s="216">
        <v>1971</v>
      </c>
      <c r="F390" s="216" t="s">
        <v>419</v>
      </c>
      <c r="G390" s="216">
        <v>5</v>
      </c>
      <c r="H390" s="216">
        <v>4</v>
      </c>
      <c r="I390" s="217">
        <v>4412.3999999999996</v>
      </c>
      <c r="J390" s="217">
        <v>3394.76</v>
      </c>
      <c r="K390" s="218">
        <v>221</v>
      </c>
      <c r="L390" s="216" t="s">
        <v>417</v>
      </c>
      <c r="M390" s="216" t="s">
        <v>423</v>
      </c>
      <c r="N390" s="219" t="s">
        <v>585</v>
      </c>
      <c r="O390" s="221">
        <v>14318710.76</v>
      </c>
      <c r="P390" s="221">
        <v>0</v>
      </c>
      <c r="Q390" s="221">
        <v>0</v>
      </c>
      <c r="R390" s="221">
        <v>0</v>
      </c>
      <c r="S390" s="221">
        <f t="shared" si="162"/>
        <v>14318710.76</v>
      </c>
      <c r="T390" s="221">
        <f t="shared" si="163"/>
        <v>3245.1071435046688</v>
      </c>
      <c r="U390" s="221">
        <v>3306.32</v>
      </c>
      <c r="V390" s="27">
        <f t="shared" si="143"/>
        <v>0</v>
      </c>
    </row>
    <row r="391" spans="1:22" ht="35.25" x14ac:dyDescent="0.5">
      <c r="A391">
        <v>1</v>
      </c>
      <c r="B391" s="223">
        <f>SUBTOTAL(9,$A$367:A391)</f>
        <v>25</v>
      </c>
      <c r="C391" s="225" t="s">
        <v>679</v>
      </c>
      <c r="D391" s="216"/>
      <c r="E391" s="216">
        <v>1972</v>
      </c>
      <c r="F391" s="216" t="s">
        <v>419</v>
      </c>
      <c r="G391" s="216">
        <v>9</v>
      </c>
      <c r="H391" s="216">
        <v>1</v>
      </c>
      <c r="I391" s="217">
        <v>2758.61</v>
      </c>
      <c r="J391" s="217">
        <v>2260.71</v>
      </c>
      <c r="K391" s="218">
        <v>89</v>
      </c>
      <c r="L391" s="216" t="s">
        <v>417</v>
      </c>
      <c r="M391" s="216" t="s">
        <v>423</v>
      </c>
      <c r="N391" s="219" t="s">
        <v>560</v>
      </c>
      <c r="O391" s="221">
        <v>4163281.5</v>
      </c>
      <c r="P391" s="221">
        <v>0</v>
      </c>
      <c r="Q391" s="221">
        <v>0</v>
      </c>
      <c r="R391" s="221">
        <v>0</v>
      </c>
      <c r="S391" s="221">
        <f t="shared" ref="S391:S393" si="164">O391-P391-Q391-R391</f>
        <v>4163281.5</v>
      </c>
      <c r="T391" s="221">
        <f t="shared" si="163"/>
        <v>1509.1953918821434</v>
      </c>
      <c r="U391" s="221">
        <f>T391</f>
        <v>1509.1953918821434</v>
      </c>
      <c r="V391" s="27">
        <f t="shared" si="143"/>
        <v>0</v>
      </c>
    </row>
    <row r="392" spans="1:22" ht="35.25" x14ac:dyDescent="0.5">
      <c r="A392">
        <v>1</v>
      </c>
      <c r="B392" s="223">
        <f>SUBTOTAL(9,$A$367:A392)</f>
        <v>26</v>
      </c>
      <c r="C392" s="225" t="s">
        <v>680</v>
      </c>
      <c r="D392" s="216"/>
      <c r="E392" s="216">
        <v>2003</v>
      </c>
      <c r="F392" s="216" t="s">
        <v>419</v>
      </c>
      <c r="G392" s="216">
        <v>14</v>
      </c>
      <c r="H392" s="216">
        <v>1</v>
      </c>
      <c r="I392" s="217">
        <v>6883.6</v>
      </c>
      <c r="J392" s="217">
        <v>5157.3999999999996</v>
      </c>
      <c r="K392" s="218">
        <v>117</v>
      </c>
      <c r="L392" s="216" t="s">
        <v>417</v>
      </c>
      <c r="M392" s="216" t="s">
        <v>423</v>
      </c>
      <c r="N392" s="219" t="s">
        <v>553</v>
      </c>
      <c r="O392" s="221">
        <v>9517347</v>
      </c>
      <c r="P392" s="221">
        <v>0</v>
      </c>
      <c r="Q392" s="221">
        <v>0</v>
      </c>
      <c r="R392" s="221">
        <v>0</v>
      </c>
      <c r="S392" s="221">
        <f t="shared" si="164"/>
        <v>9517347</v>
      </c>
      <c r="T392" s="221">
        <f t="shared" si="163"/>
        <v>1382.6118600732175</v>
      </c>
      <c r="U392" s="221">
        <f t="shared" ref="U392:U393" si="165">T392</f>
        <v>1382.6118600732175</v>
      </c>
      <c r="V392" s="27">
        <f t="shared" si="143"/>
        <v>0</v>
      </c>
    </row>
    <row r="393" spans="1:22" ht="35.25" x14ac:dyDescent="0.5">
      <c r="A393">
        <v>1</v>
      </c>
      <c r="B393" s="223">
        <f>SUBTOTAL(9,$A$367:A393)</f>
        <v>27</v>
      </c>
      <c r="C393" s="225" t="s">
        <v>72</v>
      </c>
      <c r="D393" s="216"/>
      <c r="E393" s="216">
        <v>2000</v>
      </c>
      <c r="F393" s="216" t="s">
        <v>419</v>
      </c>
      <c r="G393" s="216">
        <v>10</v>
      </c>
      <c r="H393" s="216">
        <v>3</v>
      </c>
      <c r="I393" s="217">
        <v>7042.6</v>
      </c>
      <c r="J393" s="217">
        <v>6031.4</v>
      </c>
      <c r="K393" s="218">
        <v>120</v>
      </c>
      <c r="L393" s="216" t="s">
        <v>417</v>
      </c>
      <c r="M393" s="216" t="s">
        <v>423</v>
      </c>
      <c r="N393" s="219" t="s">
        <v>563</v>
      </c>
      <c r="O393" s="221">
        <v>8392125</v>
      </c>
      <c r="P393" s="221">
        <v>0</v>
      </c>
      <c r="Q393" s="221">
        <v>0</v>
      </c>
      <c r="R393" s="221">
        <v>0</v>
      </c>
      <c r="S393" s="221">
        <f t="shared" si="164"/>
        <v>8392125</v>
      </c>
      <c r="T393" s="221">
        <f t="shared" si="163"/>
        <v>1191.6231221423905</v>
      </c>
      <c r="U393" s="221">
        <f t="shared" si="165"/>
        <v>1191.6231221423905</v>
      </c>
      <c r="V393" s="27">
        <f t="shared" si="143"/>
        <v>0</v>
      </c>
    </row>
    <row r="394" spans="1:22" s="57" customFormat="1" ht="35.25" x14ac:dyDescent="0.5">
      <c r="A394"/>
      <c r="B394" s="215" t="s">
        <v>416</v>
      </c>
      <c r="C394" s="222"/>
      <c r="D394" s="216" t="s">
        <v>422</v>
      </c>
      <c r="E394" s="216" t="s">
        <v>422</v>
      </c>
      <c r="F394" s="216" t="s">
        <v>422</v>
      </c>
      <c r="G394" s="216" t="s">
        <v>422</v>
      </c>
      <c r="H394" s="216" t="s">
        <v>422</v>
      </c>
      <c r="I394" s="217">
        <f>SUM(I395:I399)</f>
        <v>12137.9</v>
      </c>
      <c r="J394" s="217">
        <f t="shared" ref="J394:K394" si="166">SUM(J395:J399)</f>
        <v>11134.199999999999</v>
      </c>
      <c r="K394" s="218">
        <f t="shared" si="166"/>
        <v>575</v>
      </c>
      <c r="L394" s="216" t="s">
        <v>422</v>
      </c>
      <c r="M394" s="216" t="s">
        <v>422</v>
      </c>
      <c r="N394" s="219" t="s">
        <v>422</v>
      </c>
      <c r="O394" s="221">
        <v>60223102.890000001</v>
      </c>
      <c r="P394" s="221">
        <f t="shared" ref="P394:S394" si="167">SUM(P395:P399)</f>
        <v>0</v>
      </c>
      <c r="Q394" s="221">
        <f t="shared" si="167"/>
        <v>0</v>
      </c>
      <c r="R394" s="221">
        <f t="shared" si="167"/>
        <v>0</v>
      </c>
      <c r="S394" s="221">
        <f t="shared" si="167"/>
        <v>60223102.890000001</v>
      </c>
      <c r="T394" s="221">
        <f t="shared" ref="T394:T399" si="168">O394/I394</f>
        <v>4961.5751398512102</v>
      </c>
      <c r="U394" s="221">
        <f>MAX(U395:U399)</f>
        <v>11803.94</v>
      </c>
      <c r="V394" s="27">
        <f t="shared" si="143"/>
        <v>0</v>
      </c>
    </row>
    <row r="395" spans="1:22" ht="35.25" x14ac:dyDescent="0.5">
      <c r="A395">
        <v>1</v>
      </c>
      <c r="B395" s="223">
        <f>SUBTOTAL(9,$A$367:A395)</f>
        <v>28</v>
      </c>
      <c r="C395" s="225" t="s">
        <v>163</v>
      </c>
      <c r="D395" s="216"/>
      <c r="E395" s="216">
        <v>1967</v>
      </c>
      <c r="F395" s="216" t="s">
        <v>419</v>
      </c>
      <c r="G395" s="216">
        <v>5</v>
      </c>
      <c r="H395" s="216">
        <v>6</v>
      </c>
      <c r="I395" s="217">
        <v>5145.2</v>
      </c>
      <c r="J395" s="217">
        <v>4747.7</v>
      </c>
      <c r="K395" s="218">
        <v>253</v>
      </c>
      <c r="L395" s="216" t="s">
        <v>417</v>
      </c>
      <c r="M395" s="216" t="s">
        <v>423</v>
      </c>
      <c r="N395" s="219" t="s">
        <v>439</v>
      </c>
      <c r="O395" s="221">
        <v>22410887.949999999</v>
      </c>
      <c r="P395" s="221">
        <v>0</v>
      </c>
      <c r="Q395" s="221">
        <v>0</v>
      </c>
      <c r="R395" s="221">
        <v>0</v>
      </c>
      <c r="S395" s="221">
        <f>O395-P395-Q395-R395</f>
        <v>22410887.949999999</v>
      </c>
      <c r="T395" s="221">
        <f t="shared" si="168"/>
        <v>4355.6883988960581</v>
      </c>
      <c r="U395" s="221">
        <v>4437.6400000000003</v>
      </c>
      <c r="V395" s="27">
        <f t="shared" si="143"/>
        <v>0</v>
      </c>
    </row>
    <row r="396" spans="1:22" ht="35.25" x14ac:dyDescent="0.5">
      <c r="A396">
        <v>1</v>
      </c>
      <c r="B396" s="223">
        <f>SUBTOTAL(9,$A$367:A396)</f>
        <v>29</v>
      </c>
      <c r="C396" s="225" t="s">
        <v>164</v>
      </c>
      <c r="D396" s="216"/>
      <c r="E396" s="216">
        <v>1956</v>
      </c>
      <c r="F396" s="216" t="s">
        <v>419</v>
      </c>
      <c r="G396" s="216">
        <v>2</v>
      </c>
      <c r="H396" s="216">
        <v>1</v>
      </c>
      <c r="I396" s="217">
        <v>458.1</v>
      </c>
      <c r="J396" s="217">
        <v>421.4</v>
      </c>
      <c r="K396" s="218">
        <v>17</v>
      </c>
      <c r="L396" s="216" t="s">
        <v>417</v>
      </c>
      <c r="M396" s="216" t="s">
        <v>424</v>
      </c>
      <c r="N396" s="233" t="s">
        <v>425</v>
      </c>
      <c r="O396" s="221">
        <v>5179360.0799999991</v>
      </c>
      <c r="P396" s="221">
        <v>0</v>
      </c>
      <c r="Q396" s="221">
        <v>0</v>
      </c>
      <c r="R396" s="221">
        <v>0</v>
      </c>
      <c r="S396" s="221">
        <f>O396-P396-Q396-R396</f>
        <v>5179360.0799999991</v>
      </c>
      <c r="T396" s="221">
        <f t="shared" si="168"/>
        <v>11306.177865094955</v>
      </c>
      <c r="U396" s="221">
        <v>11518.9</v>
      </c>
      <c r="V396" s="27">
        <f t="shared" si="143"/>
        <v>0</v>
      </c>
    </row>
    <row r="397" spans="1:22" ht="35.25" x14ac:dyDescent="0.5">
      <c r="A397">
        <v>1</v>
      </c>
      <c r="B397" s="223">
        <f>SUBTOTAL(9,$A$367:A397)</f>
        <v>30</v>
      </c>
      <c r="C397" s="225" t="s">
        <v>165</v>
      </c>
      <c r="D397" s="216"/>
      <c r="E397" s="216">
        <v>1937</v>
      </c>
      <c r="F397" s="216" t="s">
        <v>318</v>
      </c>
      <c r="G397" s="216">
        <v>2</v>
      </c>
      <c r="H397" s="216">
        <v>2</v>
      </c>
      <c r="I397" s="217">
        <v>576.5</v>
      </c>
      <c r="J397" s="217">
        <v>508.4</v>
      </c>
      <c r="K397" s="218">
        <v>27</v>
      </c>
      <c r="L397" s="216" t="s">
        <v>417</v>
      </c>
      <c r="M397" s="216" t="s">
        <v>424</v>
      </c>
      <c r="N397" s="219" t="s">
        <v>425</v>
      </c>
      <c r="O397" s="221">
        <v>5462447.6500000004</v>
      </c>
      <c r="P397" s="221">
        <v>0</v>
      </c>
      <c r="Q397" s="221">
        <v>0</v>
      </c>
      <c r="R397" s="221">
        <v>0</v>
      </c>
      <c r="S397" s="221">
        <f>O397-P397-Q397-R397</f>
        <v>5462447.6500000004</v>
      </c>
      <c r="T397" s="221">
        <f t="shared" si="168"/>
        <v>9475.1910667823086</v>
      </c>
      <c r="U397" s="221">
        <v>9653.4599999999991</v>
      </c>
      <c r="V397" s="27">
        <f t="shared" si="143"/>
        <v>0</v>
      </c>
    </row>
    <row r="398" spans="1:22" ht="35.25" x14ac:dyDescent="0.5">
      <c r="A398">
        <v>1</v>
      </c>
      <c r="B398" s="223">
        <f>SUBTOTAL(9,$A$367:A398)</f>
        <v>31</v>
      </c>
      <c r="C398" s="225" t="s">
        <v>166</v>
      </c>
      <c r="D398" s="216"/>
      <c r="E398" s="216">
        <v>1976</v>
      </c>
      <c r="F398" s="216" t="s">
        <v>419</v>
      </c>
      <c r="G398" s="216">
        <v>2</v>
      </c>
      <c r="H398" s="216">
        <v>3</v>
      </c>
      <c r="I398" s="217">
        <v>939.7</v>
      </c>
      <c r="J398" s="217">
        <v>860.2</v>
      </c>
      <c r="K398" s="218">
        <v>44</v>
      </c>
      <c r="L398" s="216" t="s">
        <v>417</v>
      </c>
      <c r="M398" s="216" t="s">
        <v>424</v>
      </c>
      <c r="N398" s="219" t="s">
        <v>425</v>
      </c>
      <c r="O398" s="221">
        <v>10887319.560000001</v>
      </c>
      <c r="P398" s="221">
        <v>0</v>
      </c>
      <c r="Q398" s="221">
        <v>0</v>
      </c>
      <c r="R398" s="221">
        <v>0</v>
      </c>
      <c r="S398" s="221">
        <f>O398-P398-Q398-R398</f>
        <v>10887319.560000001</v>
      </c>
      <c r="T398" s="221">
        <f t="shared" si="168"/>
        <v>11585.952495477281</v>
      </c>
      <c r="U398" s="221">
        <v>11803.94</v>
      </c>
      <c r="V398" s="27">
        <f t="shared" ref="V398:V461" si="169">O398-P398-Q398-R398-S398</f>
        <v>0</v>
      </c>
    </row>
    <row r="399" spans="1:22" ht="35.25" x14ac:dyDescent="0.5">
      <c r="A399">
        <v>1</v>
      </c>
      <c r="B399" s="223">
        <f>SUBTOTAL(9,$A$367:A399)</f>
        <v>32</v>
      </c>
      <c r="C399" s="225" t="s">
        <v>167</v>
      </c>
      <c r="D399" s="216"/>
      <c r="E399" s="216">
        <v>1973</v>
      </c>
      <c r="F399" s="216" t="s">
        <v>420</v>
      </c>
      <c r="G399" s="216">
        <v>5</v>
      </c>
      <c r="H399" s="216">
        <v>6</v>
      </c>
      <c r="I399" s="217">
        <v>5018.3999999999996</v>
      </c>
      <c r="J399" s="217">
        <v>4596.5</v>
      </c>
      <c r="K399" s="218">
        <v>234</v>
      </c>
      <c r="L399" s="216" t="s">
        <v>417</v>
      </c>
      <c r="M399" s="216" t="s">
        <v>423</v>
      </c>
      <c r="N399" s="219" t="s">
        <v>439</v>
      </c>
      <c r="O399" s="221">
        <v>16283087.65</v>
      </c>
      <c r="P399" s="221">
        <v>0</v>
      </c>
      <c r="Q399" s="221">
        <v>0</v>
      </c>
      <c r="R399" s="221">
        <v>0</v>
      </c>
      <c r="S399" s="221">
        <f>O399-P399-Q399-R399</f>
        <v>16283087.65</v>
      </c>
      <c r="T399" s="221">
        <f t="shared" si="168"/>
        <v>3244.6771182050061</v>
      </c>
      <c r="U399" s="221">
        <v>3244.68</v>
      </c>
      <c r="V399" s="27">
        <f t="shared" si="169"/>
        <v>0</v>
      </c>
    </row>
    <row r="400" spans="1:22" ht="35.25" x14ac:dyDescent="0.5">
      <c r="B400" s="215" t="s">
        <v>414</v>
      </c>
      <c r="C400" s="222"/>
      <c r="D400" s="216" t="s">
        <v>422</v>
      </c>
      <c r="E400" s="216" t="s">
        <v>422</v>
      </c>
      <c r="F400" s="216" t="s">
        <v>422</v>
      </c>
      <c r="G400" s="216" t="s">
        <v>422</v>
      </c>
      <c r="H400" s="216" t="s">
        <v>422</v>
      </c>
      <c r="I400" s="217">
        <f>SUM(I401:I413)</f>
        <v>34513.399999999994</v>
      </c>
      <c r="J400" s="217">
        <f>SUM(J401:J413)</f>
        <v>31341.000000000004</v>
      </c>
      <c r="K400" s="218">
        <f>SUM(K401:K413)</f>
        <v>1238</v>
      </c>
      <c r="L400" s="216" t="s">
        <v>422</v>
      </c>
      <c r="M400" s="216" t="s">
        <v>422</v>
      </c>
      <c r="N400" s="219" t="s">
        <v>422</v>
      </c>
      <c r="O400" s="221">
        <f>SUM(O401:O413)</f>
        <v>176719887.50999999</v>
      </c>
      <c r="P400" s="221">
        <f t="shared" ref="P400:S400" si="170">SUM(P401:P413)</f>
        <v>0</v>
      </c>
      <c r="Q400" s="221">
        <f t="shared" si="170"/>
        <v>0</v>
      </c>
      <c r="R400" s="221">
        <f t="shared" si="170"/>
        <v>0</v>
      </c>
      <c r="S400" s="221">
        <f t="shared" si="170"/>
        <v>176719887.50999999</v>
      </c>
      <c r="T400" s="221">
        <f t="shared" si="163"/>
        <v>5120.3268153818526</v>
      </c>
      <c r="U400" s="221">
        <f>MAX(U401:U413)</f>
        <v>16846.319786096257</v>
      </c>
      <c r="V400" s="27">
        <f t="shared" si="169"/>
        <v>0</v>
      </c>
    </row>
    <row r="401" spans="1:22" ht="35.25" x14ac:dyDescent="0.5">
      <c r="A401">
        <v>1</v>
      </c>
      <c r="B401" s="223">
        <f>SUBTOTAL(9,$A$367:A401)</f>
        <v>33</v>
      </c>
      <c r="C401" s="225" t="s">
        <v>139</v>
      </c>
      <c r="D401" s="216" t="s">
        <v>421</v>
      </c>
      <c r="E401" s="216">
        <v>1917</v>
      </c>
      <c r="F401" s="216" t="s">
        <v>419</v>
      </c>
      <c r="G401" s="216">
        <v>2</v>
      </c>
      <c r="H401" s="216" t="s">
        <v>317</v>
      </c>
      <c r="I401" s="217">
        <v>617.1</v>
      </c>
      <c r="J401" s="217">
        <v>518.9</v>
      </c>
      <c r="K401" s="218">
        <v>26</v>
      </c>
      <c r="L401" s="216" t="s">
        <v>417</v>
      </c>
      <c r="M401" s="216" t="s">
        <v>424</v>
      </c>
      <c r="N401" s="219" t="s">
        <v>425</v>
      </c>
      <c r="O401" s="221">
        <v>10395863.940000001</v>
      </c>
      <c r="P401" s="221">
        <v>0</v>
      </c>
      <c r="Q401" s="221">
        <v>0</v>
      </c>
      <c r="R401" s="221">
        <v>0</v>
      </c>
      <c r="S401" s="221">
        <f t="shared" si="162"/>
        <v>10395863.940000001</v>
      </c>
      <c r="T401" s="221">
        <f t="shared" si="163"/>
        <v>16846.319786096257</v>
      </c>
      <c r="U401" s="221">
        <v>16846.319786096257</v>
      </c>
      <c r="V401" s="27">
        <f t="shared" si="169"/>
        <v>0</v>
      </c>
    </row>
    <row r="402" spans="1:22" ht="35.25" x14ac:dyDescent="0.5">
      <c r="A402">
        <v>1</v>
      </c>
      <c r="B402" s="223">
        <f>SUBTOTAL(9,$A$367:A402)</f>
        <v>34</v>
      </c>
      <c r="C402" s="225" t="s">
        <v>140</v>
      </c>
      <c r="D402" s="216"/>
      <c r="E402" s="216">
        <v>1967</v>
      </c>
      <c r="F402" s="216" t="s">
        <v>419</v>
      </c>
      <c r="G402" s="216">
        <v>5</v>
      </c>
      <c r="H402" s="216" t="s">
        <v>321</v>
      </c>
      <c r="I402" s="217">
        <v>3161.5</v>
      </c>
      <c r="J402" s="217">
        <v>3161.5</v>
      </c>
      <c r="K402" s="218">
        <v>116</v>
      </c>
      <c r="L402" s="216" t="s">
        <v>417</v>
      </c>
      <c r="M402" s="216" t="s">
        <v>423</v>
      </c>
      <c r="N402" s="219" t="s">
        <v>435</v>
      </c>
      <c r="O402" s="221">
        <v>14573297.48</v>
      </c>
      <c r="P402" s="221">
        <v>0</v>
      </c>
      <c r="Q402" s="221">
        <v>0</v>
      </c>
      <c r="R402" s="221">
        <v>0</v>
      </c>
      <c r="S402" s="221">
        <f t="shared" si="162"/>
        <v>14573297.48</v>
      </c>
      <c r="T402" s="221">
        <f t="shared" si="163"/>
        <v>4609.6148916653492</v>
      </c>
      <c r="U402" s="221">
        <v>4696.34</v>
      </c>
      <c r="V402" s="27">
        <f t="shared" si="169"/>
        <v>0</v>
      </c>
    </row>
    <row r="403" spans="1:22" ht="35.25" x14ac:dyDescent="0.5">
      <c r="A403">
        <v>1</v>
      </c>
      <c r="B403" s="223">
        <f>SUBTOTAL(9,$A$367:A403)</f>
        <v>35</v>
      </c>
      <c r="C403" s="225" t="s">
        <v>141</v>
      </c>
      <c r="D403" s="216"/>
      <c r="E403" s="216">
        <v>1959</v>
      </c>
      <c r="F403" s="216" t="s">
        <v>419</v>
      </c>
      <c r="G403" s="216">
        <v>2</v>
      </c>
      <c r="H403" s="216" t="s">
        <v>317</v>
      </c>
      <c r="I403" s="217">
        <v>310.2</v>
      </c>
      <c r="J403" s="217">
        <v>310.2</v>
      </c>
      <c r="K403" s="218">
        <v>19</v>
      </c>
      <c r="L403" s="216" t="s">
        <v>417</v>
      </c>
      <c r="M403" s="216" t="s">
        <v>423</v>
      </c>
      <c r="N403" s="219" t="s">
        <v>489</v>
      </c>
      <c r="O403" s="221">
        <v>1815862.4</v>
      </c>
      <c r="P403" s="221">
        <v>0</v>
      </c>
      <c r="Q403" s="221">
        <v>0</v>
      </c>
      <c r="R403" s="221">
        <v>0</v>
      </c>
      <c r="S403" s="221">
        <f t="shared" si="162"/>
        <v>1815862.4</v>
      </c>
      <c r="T403" s="221">
        <f t="shared" si="163"/>
        <v>5853.8439716312059</v>
      </c>
      <c r="U403" s="221">
        <v>5853.8439716312059</v>
      </c>
      <c r="V403" s="27">
        <f t="shared" si="169"/>
        <v>0</v>
      </c>
    </row>
    <row r="404" spans="1:22" ht="35.25" x14ac:dyDescent="0.5">
      <c r="A404">
        <v>1</v>
      </c>
      <c r="B404" s="223">
        <f>SUBTOTAL(9,$A$367:A404)</f>
        <v>36</v>
      </c>
      <c r="C404" s="225" t="s">
        <v>142</v>
      </c>
      <c r="D404" s="216"/>
      <c r="E404" s="216">
        <v>1967</v>
      </c>
      <c r="F404" s="216" t="s">
        <v>419</v>
      </c>
      <c r="G404" s="216">
        <v>5</v>
      </c>
      <c r="H404" s="216" t="s">
        <v>321</v>
      </c>
      <c r="I404" s="217">
        <v>3413.2</v>
      </c>
      <c r="J404" s="217">
        <v>3136.1</v>
      </c>
      <c r="K404" s="218">
        <v>163</v>
      </c>
      <c r="L404" s="216" t="s">
        <v>417</v>
      </c>
      <c r="M404" s="216" t="s">
        <v>423</v>
      </c>
      <c r="N404" s="219" t="s">
        <v>548</v>
      </c>
      <c r="O404" s="221">
        <v>13963961</v>
      </c>
      <c r="P404" s="221">
        <v>0</v>
      </c>
      <c r="Q404" s="221">
        <v>0</v>
      </c>
      <c r="R404" s="221">
        <v>0</v>
      </c>
      <c r="S404" s="221">
        <f t="shared" si="162"/>
        <v>13963961</v>
      </c>
      <c r="T404" s="221">
        <f t="shared" si="163"/>
        <v>4091.164010312903</v>
      </c>
      <c r="U404" s="221">
        <v>4168.1400000000003</v>
      </c>
      <c r="V404" s="27">
        <f t="shared" si="169"/>
        <v>0</v>
      </c>
    </row>
    <row r="405" spans="1:22" ht="35.25" x14ac:dyDescent="0.5">
      <c r="A405">
        <v>1</v>
      </c>
      <c r="B405" s="223">
        <f>SUBTOTAL(9,$A$367:A405)</f>
        <v>37</v>
      </c>
      <c r="C405" s="225" t="s">
        <v>143</v>
      </c>
      <c r="D405" s="216"/>
      <c r="E405" s="216">
        <v>1956</v>
      </c>
      <c r="F405" s="216" t="s">
        <v>419</v>
      </c>
      <c r="G405" s="216">
        <v>3</v>
      </c>
      <c r="H405" s="216" t="s">
        <v>321</v>
      </c>
      <c r="I405" s="217">
        <v>2169.1999999999998</v>
      </c>
      <c r="J405" s="217">
        <v>2169.1999999999998</v>
      </c>
      <c r="K405" s="218">
        <v>58</v>
      </c>
      <c r="L405" s="216" t="s">
        <v>417</v>
      </c>
      <c r="M405" s="216" t="s">
        <v>423</v>
      </c>
      <c r="N405" s="219" t="s">
        <v>548</v>
      </c>
      <c r="O405" s="221">
        <v>24957255.399999999</v>
      </c>
      <c r="P405" s="221">
        <v>0</v>
      </c>
      <c r="Q405" s="221">
        <v>0</v>
      </c>
      <c r="R405" s="221">
        <v>0</v>
      </c>
      <c r="S405" s="221">
        <f t="shared" si="162"/>
        <v>24957255.399999999</v>
      </c>
      <c r="T405" s="221">
        <f t="shared" si="163"/>
        <v>11505.280933062881</v>
      </c>
      <c r="U405" s="221">
        <v>11505.28</v>
      </c>
      <c r="V405" s="27">
        <f t="shared" si="169"/>
        <v>0</v>
      </c>
    </row>
    <row r="406" spans="1:22" ht="35.25" x14ac:dyDescent="0.5">
      <c r="A406">
        <v>1</v>
      </c>
      <c r="B406" s="223">
        <f>SUBTOTAL(9,$A$367:A406)</f>
        <v>38</v>
      </c>
      <c r="C406" s="225" t="s">
        <v>144</v>
      </c>
      <c r="D406" s="216"/>
      <c r="E406" s="216">
        <v>1979</v>
      </c>
      <c r="F406" s="216" t="s">
        <v>420</v>
      </c>
      <c r="G406" s="216">
        <v>9</v>
      </c>
      <c r="H406" s="216" t="s">
        <v>326</v>
      </c>
      <c r="I406" s="217">
        <v>6626.1</v>
      </c>
      <c r="J406" s="217">
        <v>5870.1</v>
      </c>
      <c r="K406" s="218">
        <v>324</v>
      </c>
      <c r="L406" s="216" t="s">
        <v>417</v>
      </c>
      <c r="M406" s="216" t="s">
        <v>423</v>
      </c>
      <c r="N406" s="219" t="s">
        <v>434</v>
      </c>
      <c r="O406" s="221">
        <v>12105615.6</v>
      </c>
      <c r="P406" s="221">
        <v>0</v>
      </c>
      <c r="Q406" s="221">
        <v>0</v>
      </c>
      <c r="R406" s="221">
        <v>0</v>
      </c>
      <c r="S406" s="221">
        <f t="shared" si="162"/>
        <v>12105615.6</v>
      </c>
      <c r="T406" s="221">
        <f t="shared" si="163"/>
        <v>1826.9593878752205</v>
      </c>
      <c r="U406" s="221">
        <v>1826.96</v>
      </c>
      <c r="V406" s="27">
        <f t="shared" si="169"/>
        <v>0</v>
      </c>
    </row>
    <row r="407" spans="1:22" ht="35.25" x14ac:dyDescent="0.5">
      <c r="A407">
        <v>1</v>
      </c>
      <c r="B407" s="223">
        <f>SUBTOTAL(9,$A$367:A407)</f>
        <v>39</v>
      </c>
      <c r="C407" s="225" t="s">
        <v>145</v>
      </c>
      <c r="D407" s="216"/>
      <c r="E407" s="216">
        <v>1961</v>
      </c>
      <c r="F407" s="216" t="s">
        <v>419</v>
      </c>
      <c r="G407" s="216">
        <v>5</v>
      </c>
      <c r="H407" s="216" t="s">
        <v>319</v>
      </c>
      <c r="I407" s="217">
        <v>2062.6999999999998</v>
      </c>
      <c r="J407" s="217">
        <v>1578.8</v>
      </c>
      <c r="K407" s="218">
        <v>86</v>
      </c>
      <c r="L407" s="216" t="s">
        <v>417</v>
      </c>
      <c r="M407" s="216" t="s">
        <v>423</v>
      </c>
      <c r="N407" s="219" t="s">
        <v>432</v>
      </c>
      <c r="O407" s="221">
        <v>7515149.9199999999</v>
      </c>
      <c r="P407" s="221">
        <v>0</v>
      </c>
      <c r="Q407" s="221">
        <v>0</v>
      </c>
      <c r="R407" s="221">
        <v>0</v>
      </c>
      <c r="S407" s="221">
        <f t="shared" si="162"/>
        <v>7515149.9199999999</v>
      </c>
      <c r="T407" s="221">
        <f t="shared" si="163"/>
        <v>3643.3557570175017</v>
      </c>
      <c r="U407" s="221">
        <v>3711.9</v>
      </c>
      <c r="V407" s="27">
        <f t="shared" si="169"/>
        <v>0</v>
      </c>
    </row>
    <row r="408" spans="1:22" ht="35.25" x14ac:dyDescent="0.5">
      <c r="A408">
        <v>1</v>
      </c>
      <c r="B408" s="223">
        <f>SUBTOTAL(9,$A$367:A408)</f>
        <v>40</v>
      </c>
      <c r="C408" s="225" t="s">
        <v>146</v>
      </c>
      <c r="D408" s="216"/>
      <c r="E408" s="216">
        <v>1970</v>
      </c>
      <c r="F408" s="216" t="s">
        <v>419</v>
      </c>
      <c r="G408" s="216">
        <v>5</v>
      </c>
      <c r="H408" s="216" t="s">
        <v>321</v>
      </c>
      <c r="I408" s="217">
        <v>4045.3</v>
      </c>
      <c r="J408" s="217">
        <v>3798.6000000000004</v>
      </c>
      <c r="K408" s="218">
        <v>105</v>
      </c>
      <c r="L408" s="216" t="s">
        <v>417</v>
      </c>
      <c r="M408" s="216" t="s">
        <v>423</v>
      </c>
      <c r="N408" s="219" t="s">
        <v>548</v>
      </c>
      <c r="O408" s="221">
        <v>15525385.729999999</v>
      </c>
      <c r="P408" s="221">
        <v>0</v>
      </c>
      <c r="Q408" s="221">
        <v>0</v>
      </c>
      <c r="R408" s="221">
        <v>0</v>
      </c>
      <c r="S408" s="221">
        <f t="shared" si="162"/>
        <v>15525385.729999999</v>
      </c>
      <c r="T408" s="221">
        <f t="shared" si="163"/>
        <v>3837.8824141596415</v>
      </c>
      <c r="U408" s="221">
        <v>3910.09</v>
      </c>
      <c r="V408" s="27">
        <f t="shared" si="169"/>
        <v>0</v>
      </c>
    </row>
    <row r="409" spans="1:22" ht="35.25" x14ac:dyDescent="0.5">
      <c r="A409">
        <v>1</v>
      </c>
      <c r="B409" s="223">
        <f>SUBTOTAL(9,$A$367:A409)</f>
        <v>41</v>
      </c>
      <c r="C409" s="225" t="s">
        <v>147</v>
      </c>
      <c r="D409" s="216"/>
      <c r="E409" s="216">
        <v>1962</v>
      </c>
      <c r="F409" s="216" t="s">
        <v>419</v>
      </c>
      <c r="G409" s="216">
        <v>3</v>
      </c>
      <c r="H409" s="216" t="s">
        <v>319</v>
      </c>
      <c r="I409" s="217">
        <v>1350</v>
      </c>
      <c r="J409" s="217">
        <v>620.4</v>
      </c>
      <c r="K409" s="218">
        <v>62</v>
      </c>
      <c r="L409" s="216" t="s">
        <v>417</v>
      </c>
      <c r="M409" s="216" t="s">
        <v>423</v>
      </c>
      <c r="N409" s="219" t="s">
        <v>548</v>
      </c>
      <c r="O409" s="221">
        <v>6981980.5</v>
      </c>
      <c r="P409" s="221">
        <v>0</v>
      </c>
      <c r="Q409" s="221">
        <v>0</v>
      </c>
      <c r="R409" s="221">
        <v>0</v>
      </c>
      <c r="S409" s="221">
        <f t="shared" si="162"/>
        <v>6981980.5</v>
      </c>
      <c r="T409" s="221">
        <f t="shared" si="163"/>
        <v>5171.8374074074072</v>
      </c>
      <c r="U409" s="221">
        <v>5269.14</v>
      </c>
      <c r="V409" s="27">
        <f t="shared" si="169"/>
        <v>0</v>
      </c>
    </row>
    <row r="410" spans="1:22" ht="35.25" x14ac:dyDescent="0.5">
      <c r="A410">
        <v>1</v>
      </c>
      <c r="B410" s="223">
        <f>SUBTOTAL(9,$A$367:A410)</f>
        <v>42</v>
      </c>
      <c r="C410" s="225" t="s">
        <v>148</v>
      </c>
      <c r="D410" s="216"/>
      <c r="E410" s="216">
        <v>1960</v>
      </c>
      <c r="F410" s="216" t="s">
        <v>419</v>
      </c>
      <c r="G410" s="216">
        <v>4</v>
      </c>
      <c r="H410" s="216" t="s">
        <v>321</v>
      </c>
      <c r="I410" s="217">
        <v>2559.8000000000002</v>
      </c>
      <c r="J410" s="217">
        <v>2559.8000000000002</v>
      </c>
      <c r="K410" s="218">
        <v>84</v>
      </c>
      <c r="L410" s="216" t="s">
        <v>417</v>
      </c>
      <c r="M410" s="216" t="s">
        <v>423</v>
      </c>
      <c r="N410" s="219" t="s">
        <v>548</v>
      </c>
      <c r="O410" s="221">
        <v>14560201.200000001</v>
      </c>
      <c r="P410" s="221">
        <v>0</v>
      </c>
      <c r="Q410" s="221">
        <v>0</v>
      </c>
      <c r="R410" s="221">
        <v>0</v>
      </c>
      <c r="S410" s="221">
        <f t="shared" si="162"/>
        <v>14560201.200000001</v>
      </c>
      <c r="T410" s="221">
        <f t="shared" si="163"/>
        <v>5688.0229705445736</v>
      </c>
      <c r="U410" s="221">
        <v>5795.2</v>
      </c>
      <c r="V410" s="27">
        <f t="shared" si="169"/>
        <v>0</v>
      </c>
    </row>
    <row r="411" spans="1:22" ht="35.25" x14ac:dyDescent="0.5">
      <c r="A411">
        <v>1</v>
      </c>
      <c r="B411" s="223">
        <f>SUBTOTAL(9,$A$367:A411)</f>
        <v>43</v>
      </c>
      <c r="C411" s="225" t="s">
        <v>149</v>
      </c>
      <c r="D411" s="216"/>
      <c r="E411" s="216">
        <v>1962</v>
      </c>
      <c r="F411" s="216" t="s">
        <v>419</v>
      </c>
      <c r="G411" s="216">
        <v>3</v>
      </c>
      <c r="H411" s="216" t="s">
        <v>319</v>
      </c>
      <c r="I411" s="217">
        <v>1038.5999999999999</v>
      </c>
      <c r="J411" s="217">
        <v>965.2</v>
      </c>
      <c r="K411" s="218">
        <v>38</v>
      </c>
      <c r="L411" s="216" t="s">
        <v>417</v>
      </c>
      <c r="M411" s="216" t="s">
        <v>423</v>
      </c>
      <c r="N411" s="219" t="s">
        <v>432</v>
      </c>
      <c r="O411" s="221">
        <v>7438982.8600000003</v>
      </c>
      <c r="P411" s="221">
        <v>0</v>
      </c>
      <c r="Q411" s="221">
        <v>0</v>
      </c>
      <c r="R411" s="221">
        <v>0</v>
      </c>
      <c r="S411" s="221">
        <f t="shared" si="162"/>
        <v>7438982.8600000003</v>
      </c>
      <c r="T411" s="221">
        <f t="shared" si="163"/>
        <v>7162.5099749663013</v>
      </c>
      <c r="U411" s="221">
        <v>7297.27</v>
      </c>
      <c r="V411" s="27">
        <f t="shared" si="169"/>
        <v>0</v>
      </c>
    </row>
    <row r="412" spans="1:22" ht="35.25" x14ac:dyDescent="0.5">
      <c r="A412">
        <v>1</v>
      </c>
      <c r="B412" s="223">
        <f>SUBTOTAL(9,$A$367:A412)</f>
        <v>44</v>
      </c>
      <c r="C412" s="225" t="s">
        <v>150</v>
      </c>
      <c r="D412" s="216"/>
      <c r="E412" s="216">
        <v>1958</v>
      </c>
      <c r="F412" s="216" t="s">
        <v>419</v>
      </c>
      <c r="G412" s="216">
        <v>4</v>
      </c>
      <c r="H412" s="216" t="s">
        <v>334</v>
      </c>
      <c r="I412" s="217">
        <v>3599.7</v>
      </c>
      <c r="J412" s="217">
        <v>3599.7</v>
      </c>
      <c r="K412" s="218">
        <v>98</v>
      </c>
      <c r="L412" s="216" t="s">
        <v>417</v>
      </c>
      <c r="M412" s="216" t="s">
        <v>423</v>
      </c>
      <c r="N412" s="219" t="s">
        <v>435</v>
      </c>
      <c r="O412" s="221">
        <v>24119569</v>
      </c>
      <c r="P412" s="221">
        <v>0</v>
      </c>
      <c r="Q412" s="221">
        <v>0</v>
      </c>
      <c r="R412" s="221">
        <v>0</v>
      </c>
      <c r="S412" s="221">
        <f t="shared" si="162"/>
        <v>24119569</v>
      </c>
      <c r="T412" s="221">
        <f t="shared" si="163"/>
        <v>6700.4386476650834</v>
      </c>
      <c r="U412" s="221">
        <v>6826.5</v>
      </c>
      <c r="V412" s="27">
        <f t="shared" si="169"/>
        <v>0</v>
      </c>
    </row>
    <row r="413" spans="1:22" ht="35.25" x14ac:dyDescent="0.5">
      <c r="A413">
        <v>1</v>
      </c>
      <c r="B413" s="223">
        <f>SUBTOTAL(9,$A$367:A413)</f>
        <v>45</v>
      </c>
      <c r="C413" s="225" t="s">
        <v>151</v>
      </c>
      <c r="D413" s="216"/>
      <c r="E413" s="216">
        <v>1940</v>
      </c>
      <c r="F413" s="216" t="s">
        <v>419</v>
      </c>
      <c r="G413" s="216">
        <v>4</v>
      </c>
      <c r="H413" s="216" t="s">
        <v>334</v>
      </c>
      <c r="I413" s="217">
        <v>3560</v>
      </c>
      <c r="J413" s="217">
        <v>3052.5</v>
      </c>
      <c r="K413" s="218">
        <v>59</v>
      </c>
      <c r="L413" s="216" t="s">
        <v>417</v>
      </c>
      <c r="M413" s="216" t="s">
        <v>423</v>
      </c>
      <c r="N413" s="219" t="s">
        <v>428</v>
      </c>
      <c r="O413" s="221">
        <v>22766762.48</v>
      </c>
      <c r="P413" s="221">
        <v>0</v>
      </c>
      <c r="Q413" s="221">
        <v>0</v>
      </c>
      <c r="R413" s="221">
        <v>0</v>
      </c>
      <c r="S413" s="221">
        <f t="shared" si="162"/>
        <v>22766762.48</v>
      </c>
      <c r="T413" s="221">
        <f t="shared" si="163"/>
        <v>6395.1580000000004</v>
      </c>
      <c r="U413" s="221">
        <v>6395.16</v>
      </c>
      <c r="V413" s="27">
        <f t="shared" si="169"/>
        <v>0</v>
      </c>
    </row>
    <row r="414" spans="1:22" s="57" customFormat="1" ht="35.25" x14ac:dyDescent="0.5">
      <c r="A414"/>
      <c r="B414" s="215" t="s">
        <v>471</v>
      </c>
      <c r="C414" s="222"/>
      <c r="D414" s="216" t="s">
        <v>422</v>
      </c>
      <c r="E414" s="216" t="s">
        <v>422</v>
      </c>
      <c r="F414" s="216" t="s">
        <v>422</v>
      </c>
      <c r="G414" s="216" t="s">
        <v>422</v>
      </c>
      <c r="H414" s="216" t="s">
        <v>422</v>
      </c>
      <c r="I414" s="217">
        <f>SUM(I415:I424)</f>
        <v>28436.600000000002</v>
      </c>
      <c r="J414" s="217">
        <f t="shared" ref="J414:K414" si="171">SUM(J415:J424)</f>
        <v>21733.9</v>
      </c>
      <c r="K414" s="218">
        <f t="shared" si="171"/>
        <v>1043</v>
      </c>
      <c r="L414" s="216" t="s">
        <v>422</v>
      </c>
      <c r="M414" s="216" t="s">
        <v>422</v>
      </c>
      <c r="N414" s="219" t="s">
        <v>422</v>
      </c>
      <c r="O414" s="221">
        <f>SUM(O415:O424)</f>
        <v>110376692.72</v>
      </c>
      <c r="P414" s="221">
        <f t="shared" ref="P414:S414" si="172">SUM(P415:P424)</f>
        <v>0</v>
      </c>
      <c r="Q414" s="221">
        <f t="shared" si="172"/>
        <v>0</v>
      </c>
      <c r="R414" s="221">
        <f t="shared" si="172"/>
        <v>0</v>
      </c>
      <c r="S414" s="221">
        <f t="shared" si="172"/>
        <v>110376692.72</v>
      </c>
      <c r="T414" s="221">
        <f t="shared" ref="T414:T438" si="173">O414/I414</f>
        <v>3881.5010486485721</v>
      </c>
      <c r="U414" s="221">
        <f>MAX(U415:U424)</f>
        <v>13167.963513513512</v>
      </c>
      <c r="V414" s="27">
        <f t="shared" si="169"/>
        <v>0</v>
      </c>
    </row>
    <row r="415" spans="1:22" ht="35.25" x14ac:dyDescent="0.5">
      <c r="A415">
        <v>1</v>
      </c>
      <c r="B415" s="223">
        <f>SUBTOTAL(9,$A$367:A415)</f>
        <v>46</v>
      </c>
      <c r="C415" s="225" t="s">
        <v>392</v>
      </c>
      <c r="D415" s="238"/>
      <c r="E415" s="216">
        <v>1964</v>
      </c>
      <c r="F415" s="216" t="s">
        <v>419</v>
      </c>
      <c r="G415" s="216">
        <v>4</v>
      </c>
      <c r="H415" s="216" t="s">
        <v>319</v>
      </c>
      <c r="I415" s="217">
        <v>1331.3</v>
      </c>
      <c r="J415" s="217">
        <v>1231.8000000000002</v>
      </c>
      <c r="K415" s="218">
        <v>51</v>
      </c>
      <c r="L415" s="216" t="s">
        <v>417</v>
      </c>
      <c r="M415" s="216" t="s">
        <v>423</v>
      </c>
      <c r="N415" s="219" t="s">
        <v>473</v>
      </c>
      <c r="O415" s="221">
        <v>7299343.25</v>
      </c>
      <c r="P415" s="221">
        <v>0</v>
      </c>
      <c r="Q415" s="221">
        <v>0</v>
      </c>
      <c r="R415" s="221">
        <v>0</v>
      </c>
      <c r="S415" s="221">
        <f t="shared" ref="S415:S422" si="174">O415-P415-Q415-R415</f>
        <v>7299343.25</v>
      </c>
      <c r="T415" s="221">
        <f t="shared" si="173"/>
        <v>5482.8688124389701</v>
      </c>
      <c r="U415" s="221">
        <v>5586.03</v>
      </c>
      <c r="V415" s="27">
        <f t="shared" si="169"/>
        <v>0</v>
      </c>
    </row>
    <row r="416" spans="1:22" ht="35.25" x14ac:dyDescent="0.5">
      <c r="A416">
        <v>1</v>
      </c>
      <c r="B416" s="223">
        <f>SUBTOTAL(9,$A$367:A416)</f>
        <v>47</v>
      </c>
      <c r="C416" s="225" t="s">
        <v>386</v>
      </c>
      <c r="D416" s="238"/>
      <c r="E416" s="216">
        <v>1963</v>
      </c>
      <c r="F416" s="216" t="s">
        <v>419</v>
      </c>
      <c r="G416" s="216">
        <v>3</v>
      </c>
      <c r="H416" s="216" t="s">
        <v>326</v>
      </c>
      <c r="I416" s="217">
        <v>1624.8</v>
      </c>
      <c r="J416" s="217">
        <v>1516</v>
      </c>
      <c r="K416" s="218">
        <v>63</v>
      </c>
      <c r="L416" s="216" t="s">
        <v>417</v>
      </c>
      <c r="M416" s="216" t="s">
        <v>423</v>
      </c>
      <c r="N416" s="219" t="s">
        <v>479</v>
      </c>
      <c r="O416" s="221">
        <v>10663388.399999999</v>
      </c>
      <c r="P416" s="221">
        <v>0</v>
      </c>
      <c r="Q416" s="221">
        <v>0</v>
      </c>
      <c r="R416" s="221">
        <v>0</v>
      </c>
      <c r="S416" s="221">
        <f t="shared" si="174"/>
        <v>10663388.399999999</v>
      </c>
      <c r="T416" s="221">
        <f t="shared" si="173"/>
        <v>6562.8929098966019</v>
      </c>
      <c r="U416" s="221">
        <v>6686.37</v>
      </c>
      <c r="V416" s="27">
        <f t="shared" si="169"/>
        <v>0</v>
      </c>
    </row>
    <row r="417" spans="1:22" s="30" customFormat="1" ht="70.5" x14ac:dyDescent="0.4">
      <c r="A417" s="30">
        <v>1</v>
      </c>
      <c r="B417" s="230">
        <f>SUBTOTAL(9,$A$367:A417)</f>
        <v>48</v>
      </c>
      <c r="C417" s="225" t="s">
        <v>400</v>
      </c>
      <c r="D417" s="237"/>
      <c r="E417" s="230">
        <v>1990</v>
      </c>
      <c r="F417" s="230" t="s">
        <v>419</v>
      </c>
      <c r="G417" s="230">
        <v>5</v>
      </c>
      <c r="H417" s="230" t="s">
        <v>317</v>
      </c>
      <c r="I417" s="231">
        <v>3010.5</v>
      </c>
      <c r="J417" s="231">
        <v>2501.9</v>
      </c>
      <c r="K417" s="232">
        <v>158</v>
      </c>
      <c r="L417" s="230" t="s">
        <v>417</v>
      </c>
      <c r="M417" s="230" t="s">
        <v>423</v>
      </c>
      <c r="N417" s="233" t="s">
        <v>474</v>
      </c>
      <c r="O417" s="234">
        <v>9842279.3499999996</v>
      </c>
      <c r="P417" s="234">
        <v>0</v>
      </c>
      <c r="Q417" s="234">
        <v>0</v>
      </c>
      <c r="R417" s="234">
        <v>0</v>
      </c>
      <c r="S417" s="234">
        <f t="shared" si="174"/>
        <v>9842279.3499999996</v>
      </c>
      <c r="T417" s="234">
        <f t="shared" si="173"/>
        <v>3269.3171732270384</v>
      </c>
      <c r="U417" s="234">
        <v>3269.32</v>
      </c>
      <c r="V417" s="27">
        <f t="shared" si="169"/>
        <v>0</v>
      </c>
    </row>
    <row r="418" spans="1:22" ht="35.25" x14ac:dyDescent="0.5">
      <c r="A418">
        <v>1</v>
      </c>
      <c r="B418" s="223">
        <f>SUBTOTAL(9,$A$367:A418)</f>
        <v>49</v>
      </c>
      <c r="C418" s="225" t="s">
        <v>409</v>
      </c>
      <c r="D418" s="238"/>
      <c r="E418" s="216">
        <v>1989</v>
      </c>
      <c r="F418" s="216" t="s">
        <v>419</v>
      </c>
      <c r="G418" s="216">
        <v>2</v>
      </c>
      <c r="H418" s="216" t="s">
        <v>326</v>
      </c>
      <c r="I418" s="217">
        <v>917.6</v>
      </c>
      <c r="J418" s="217">
        <v>833.4</v>
      </c>
      <c r="K418" s="218">
        <v>18</v>
      </c>
      <c r="L418" s="216" t="s">
        <v>417</v>
      </c>
      <c r="M418" s="216" t="s">
        <v>423</v>
      </c>
      <c r="N418" s="219" t="s">
        <v>482</v>
      </c>
      <c r="O418" s="221">
        <v>12082923.319999998</v>
      </c>
      <c r="P418" s="221">
        <v>0</v>
      </c>
      <c r="Q418" s="221">
        <v>0</v>
      </c>
      <c r="R418" s="221">
        <v>0</v>
      </c>
      <c r="S418" s="221">
        <f t="shared" si="174"/>
        <v>12082923.319999998</v>
      </c>
      <c r="T418" s="221">
        <f t="shared" si="173"/>
        <v>13167.963513513512</v>
      </c>
      <c r="U418" s="221">
        <v>13167.963513513512</v>
      </c>
      <c r="V418" s="27">
        <f t="shared" si="169"/>
        <v>0</v>
      </c>
    </row>
    <row r="419" spans="1:22" s="30" customFormat="1" ht="70.5" x14ac:dyDescent="0.4">
      <c r="A419" s="30">
        <v>1</v>
      </c>
      <c r="B419" s="223">
        <f>SUBTOTAL(9,$A$367:A419)</f>
        <v>50</v>
      </c>
      <c r="C419" s="225" t="s">
        <v>411</v>
      </c>
      <c r="D419" s="237"/>
      <c r="E419" s="230">
        <v>1991</v>
      </c>
      <c r="F419" s="230" t="s">
        <v>420</v>
      </c>
      <c r="G419" s="230">
        <v>4</v>
      </c>
      <c r="H419" s="230" t="s">
        <v>319</v>
      </c>
      <c r="I419" s="231">
        <v>1882</v>
      </c>
      <c r="J419" s="231">
        <v>1701.7</v>
      </c>
      <c r="K419" s="232">
        <v>87</v>
      </c>
      <c r="L419" s="230" t="s">
        <v>417</v>
      </c>
      <c r="M419" s="230" t="s">
        <v>423</v>
      </c>
      <c r="N419" s="233" t="s">
        <v>474</v>
      </c>
      <c r="O419" s="234">
        <v>7635849.8399999999</v>
      </c>
      <c r="P419" s="234">
        <v>0</v>
      </c>
      <c r="Q419" s="234">
        <v>0</v>
      </c>
      <c r="R419" s="234">
        <v>0</v>
      </c>
      <c r="S419" s="234">
        <f t="shared" si="174"/>
        <v>7635849.8399999999</v>
      </c>
      <c r="T419" s="234">
        <f t="shared" si="173"/>
        <v>4057.3059723698193</v>
      </c>
      <c r="U419" s="234">
        <v>4057.31</v>
      </c>
      <c r="V419" s="27">
        <f t="shared" si="169"/>
        <v>0</v>
      </c>
    </row>
    <row r="420" spans="1:22" ht="35.25" x14ac:dyDescent="0.5">
      <c r="A420">
        <v>1</v>
      </c>
      <c r="B420" s="230">
        <f>SUBTOTAL(9,$A$367:A420)</f>
        <v>51</v>
      </c>
      <c r="C420" s="225" t="s">
        <v>397</v>
      </c>
      <c r="D420" s="238"/>
      <c r="E420" s="216">
        <v>1984</v>
      </c>
      <c r="F420" s="216" t="s">
        <v>419</v>
      </c>
      <c r="G420" s="216">
        <v>5</v>
      </c>
      <c r="H420" s="216" t="s">
        <v>317</v>
      </c>
      <c r="I420" s="217">
        <v>4398.6000000000004</v>
      </c>
      <c r="J420" s="217">
        <v>2297.1999999999998</v>
      </c>
      <c r="K420" s="218">
        <v>152</v>
      </c>
      <c r="L420" s="216" t="s">
        <v>417</v>
      </c>
      <c r="M420" s="216" t="s">
        <v>423</v>
      </c>
      <c r="N420" s="219" t="s">
        <v>476</v>
      </c>
      <c r="O420" s="221">
        <v>14782819.050000001</v>
      </c>
      <c r="P420" s="221">
        <v>0</v>
      </c>
      <c r="Q420" s="221">
        <v>0</v>
      </c>
      <c r="R420" s="221">
        <v>0</v>
      </c>
      <c r="S420" s="221">
        <f t="shared" si="174"/>
        <v>14782819.050000001</v>
      </c>
      <c r="T420" s="221">
        <f t="shared" si="173"/>
        <v>3360.8009480289184</v>
      </c>
      <c r="U420" s="221">
        <v>3360.8</v>
      </c>
      <c r="V420" s="27">
        <f t="shared" si="169"/>
        <v>0</v>
      </c>
    </row>
    <row r="421" spans="1:22" ht="35.25" x14ac:dyDescent="0.5">
      <c r="A421">
        <v>1</v>
      </c>
      <c r="B421" s="223">
        <f>SUBTOTAL(9,$A$367:A421)</f>
        <v>52</v>
      </c>
      <c r="C421" s="225" t="s">
        <v>389</v>
      </c>
      <c r="D421" s="238"/>
      <c r="E421" s="216">
        <v>1988</v>
      </c>
      <c r="F421" s="216" t="s">
        <v>419</v>
      </c>
      <c r="G421" s="216">
        <v>5</v>
      </c>
      <c r="H421" s="216" t="s">
        <v>320</v>
      </c>
      <c r="I421" s="217">
        <v>7170.6</v>
      </c>
      <c r="J421" s="217">
        <v>5407.6</v>
      </c>
      <c r="K421" s="218">
        <v>236</v>
      </c>
      <c r="L421" s="216" t="s">
        <v>417</v>
      </c>
      <c r="M421" s="216" t="s">
        <v>423</v>
      </c>
      <c r="N421" s="219" t="s">
        <v>477</v>
      </c>
      <c r="O421" s="221">
        <v>20473493.050000001</v>
      </c>
      <c r="P421" s="221">
        <v>0</v>
      </c>
      <c r="Q421" s="221">
        <v>0</v>
      </c>
      <c r="R421" s="221">
        <v>0</v>
      </c>
      <c r="S421" s="221">
        <f t="shared" si="174"/>
        <v>20473493.050000001</v>
      </c>
      <c r="T421" s="221">
        <f t="shared" si="173"/>
        <v>2855.1994324045409</v>
      </c>
      <c r="U421" s="221">
        <v>2855.2</v>
      </c>
      <c r="V421" s="27">
        <f t="shared" si="169"/>
        <v>0</v>
      </c>
    </row>
    <row r="422" spans="1:22" ht="35.25" x14ac:dyDescent="0.5">
      <c r="A422">
        <v>1</v>
      </c>
      <c r="B422" s="223">
        <f>SUBTOTAL(9,$A$367:A422)</f>
        <v>53</v>
      </c>
      <c r="C422" s="225" t="s">
        <v>387</v>
      </c>
      <c r="D422" s="238"/>
      <c r="E422" s="216">
        <v>1971</v>
      </c>
      <c r="F422" s="216" t="s">
        <v>419</v>
      </c>
      <c r="G422" s="216">
        <v>5</v>
      </c>
      <c r="H422" s="216" t="s">
        <v>321</v>
      </c>
      <c r="I422" s="217">
        <v>4341.5</v>
      </c>
      <c r="J422" s="217">
        <v>3356.8</v>
      </c>
      <c r="K422" s="218">
        <v>167</v>
      </c>
      <c r="L422" s="216" t="s">
        <v>417</v>
      </c>
      <c r="M422" s="216" t="s">
        <v>423</v>
      </c>
      <c r="N422" s="219" t="s">
        <v>479</v>
      </c>
      <c r="O422" s="221">
        <v>14322029.199999999</v>
      </c>
      <c r="P422" s="221">
        <v>0</v>
      </c>
      <c r="Q422" s="221">
        <v>0</v>
      </c>
      <c r="R422" s="221">
        <v>0</v>
      </c>
      <c r="S422" s="221">
        <f t="shared" si="174"/>
        <v>14322029.199999999</v>
      </c>
      <c r="T422" s="221">
        <f t="shared" si="173"/>
        <v>3298.8665668547737</v>
      </c>
      <c r="U422" s="221">
        <v>3419.9</v>
      </c>
      <c r="V422" s="27">
        <f t="shared" si="169"/>
        <v>0</v>
      </c>
    </row>
    <row r="423" spans="1:22" ht="35.25" x14ac:dyDescent="0.5">
      <c r="A423">
        <v>1</v>
      </c>
      <c r="B423" s="230">
        <f>SUBTOTAL(9,$A$367:A423)</f>
        <v>54</v>
      </c>
      <c r="C423" s="225" t="s">
        <v>628</v>
      </c>
      <c r="D423" s="238"/>
      <c r="E423" s="216">
        <v>1983</v>
      </c>
      <c r="F423" s="216" t="s">
        <v>420</v>
      </c>
      <c r="G423" s="216">
        <v>4</v>
      </c>
      <c r="H423" s="216">
        <v>3</v>
      </c>
      <c r="I423" s="217">
        <v>2104.6999999999998</v>
      </c>
      <c r="J423" s="217">
        <v>1905.5</v>
      </c>
      <c r="K423" s="218">
        <v>75</v>
      </c>
      <c r="L423" s="216" t="s">
        <v>417</v>
      </c>
      <c r="M423" s="216" t="s">
        <v>423</v>
      </c>
      <c r="N423" s="219" t="s">
        <v>478</v>
      </c>
      <c r="O423" s="221">
        <v>250000</v>
      </c>
      <c r="P423" s="221">
        <v>0</v>
      </c>
      <c r="Q423" s="221">
        <v>0</v>
      </c>
      <c r="R423" s="221">
        <v>0</v>
      </c>
      <c r="S423" s="221">
        <f t="shared" ref="S423" si="175">O423-P423-Q423-R423</f>
        <v>250000</v>
      </c>
      <c r="T423" s="221">
        <f t="shared" si="173"/>
        <v>118.78177412457833</v>
      </c>
      <c r="U423" s="221">
        <f>T423</f>
        <v>118.78177412457833</v>
      </c>
      <c r="V423" s="27">
        <f t="shared" si="169"/>
        <v>0</v>
      </c>
    </row>
    <row r="424" spans="1:22" ht="35.25" x14ac:dyDescent="0.5">
      <c r="A424">
        <v>1</v>
      </c>
      <c r="B424" s="223">
        <f>SUBTOTAL(9,$A$367:A424)</f>
        <v>55</v>
      </c>
      <c r="C424" s="225" t="s">
        <v>382</v>
      </c>
      <c r="D424" s="238"/>
      <c r="E424" s="216">
        <v>1963</v>
      </c>
      <c r="F424" s="216" t="s">
        <v>419</v>
      </c>
      <c r="G424" s="216">
        <v>4</v>
      </c>
      <c r="H424" s="216" t="s">
        <v>321</v>
      </c>
      <c r="I424" s="217">
        <v>1655</v>
      </c>
      <c r="J424" s="217">
        <v>982</v>
      </c>
      <c r="K424" s="218">
        <v>36</v>
      </c>
      <c r="L424" s="216" t="s">
        <v>417</v>
      </c>
      <c r="M424" s="216" t="s">
        <v>423</v>
      </c>
      <c r="N424" s="219" t="s">
        <v>475</v>
      </c>
      <c r="O424" s="221">
        <v>13024567.26</v>
      </c>
      <c r="P424" s="221">
        <v>0</v>
      </c>
      <c r="Q424" s="221">
        <v>0</v>
      </c>
      <c r="R424" s="221">
        <v>0</v>
      </c>
      <c r="S424" s="221">
        <f>O424-P424-Q424-R424</f>
        <v>13024567.26</v>
      </c>
      <c r="T424" s="221">
        <f>O424/I424</f>
        <v>7869.8291601208457</v>
      </c>
      <c r="U424" s="221">
        <v>8017.9</v>
      </c>
      <c r="V424" s="27">
        <f t="shared" si="169"/>
        <v>0</v>
      </c>
    </row>
    <row r="425" spans="1:22" s="57" customFormat="1" ht="35.25" x14ac:dyDescent="0.5">
      <c r="A425"/>
      <c r="B425" s="215" t="s">
        <v>676</v>
      </c>
      <c r="C425" s="222"/>
      <c r="D425" s="216" t="s">
        <v>422</v>
      </c>
      <c r="E425" s="216" t="s">
        <v>422</v>
      </c>
      <c r="F425" s="216" t="s">
        <v>422</v>
      </c>
      <c r="G425" s="216" t="s">
        <v>422</v>
      </c>
      <c r="H425" s="216" t="s">
        <v>422</v>
      </c>
      <c r="I425" s="217">
        <f>SUM(I426:I438)</f>
        <v>50241.880000000005</v>
      </c>
      <c r="J425" s="217">
        <f>SUM(J426:J438)</f>
        <v>39147.859999999993</v>
      </c>
      <c r="K425" s="218">
        <f>SUM(K426:K438)</f>
        <v>1875</v>
      </c>
      <c r="L425" s="216" t="s">
        <v>422</v>
      </c>
      <c r="M425" s="216" t="s">
        <v>422</v>
      </c>
      <c r="N425" s="219" t="s">
        <v>422</v>
      </c>
      <c r="O425" s="221">
        <f>SUM(O426:O438)</f>
        <v>157618575.54000002</v>
      </c>
      <c r="P425" s="221">
        <f>SUM(P426:P438)</f>
        <v>0</v>
      </c>
      <c r="Q425" s="221">
        <f>SUM(Q426:Q438)</f>
        <v>0</v>
      </c>
      <c r="R425" s="221">
        <f>SUM(R426:R438)</f>
        <v>0</v>
      </c>
      <c r="S425" s="221">
        <f>SUM(S426:S438)</f>
        <v>157618575.54000002</v>
      </c>
      <c r="T425" s="221">
        <f t="shared" si="173"/>
        <v>3137.1950161896812</v>
      </c>
      <c r="U425" s="221">
        <f>MAX(U426:U438)</f>
        <v>21472.45</v>
      </c>
      <c r="V425" s="27">
        <f t="shared" si="169"/>
        <v>0</v>
      </c>
    </row>
    <row r="426" spans="1:22" ht="35.25" x14ac:dyDescent="0.5">
      <c r="A426">
        <v>1</v>
      </c>
      <c r="B426" s="223">
        <f>SUBTOTAL(9,$A$367:A426)</f>
        <v>56</v>
      </c>
      <c r="C426" s="225" t="s">
        <v>343</v>
      </c>
      <c r="D426" s="238"/>
      <c r="E426" s="216">
        <v>1967</v>
      </c>
      <c r="F426" s="216" t="s">
        <v>420</v>
      </c>
      <c r="G426" s="216">
        <v>5</v>
      </c>
      <c r="H426" s="216" t="s">
        <v>321</v>
      </c>
      <c r="I426" s="217">
        <v>2906.96</v>
      </c>
      <c r="J426" s="217">
        <v>2618.8000000000002</v>
      </c>
      <c r="K426" s="218">
        <v>142</v>
      </c>
      <c r="L426" s="216" t="s">
        <v>417</v>
      </c>
      <c r="M426" s="216" t="s">
        <v>423</v>
      </c>
      <c r="N426" s="219" t="s">
        <v>494</v>
      </c>
      <c r="O426" s="221">
        <v>9480145.5600000005</v>
      </c>
      <c r="P426" s="221">
        <v>0</v>
      </c>
      <c r="Q426" s="221">
        <v>0</v>
      </c>
      <c r="R426" s="221">
        <v>0</v>
      </c>
      <c r="S426" s="221">
        <f t="shared" ref="S426:S438" si="176">O426-P426-Q426-R426</f>
        <v>9480145.5600000005</v>
      </c>
      <c r="T426" s="221">
        <f t="shared" si="173"/>
        <v>3261.1888570878168</v>
      </c>
      <c r="U426" s="221">
        <v>3261.19</v>
      </c>
      <c r="V426" s="27">
        <f t="shared" si="169"/>
        <v>0</v>
      </c>
    </row>
    <row r="427" spans="1:22" ht="35.25" x14ac:dyDescent="0.5">
      <c r="A427">
        <v>1</v>
      </c>
      <c r="B427" s="223">
        <f>SUBTOTAL(9,$A$367:A427)</f>
        <v>57</v>
      </c>
      <c r="C427" s="225" t="s">
        <v>333</v>
      </c>
      <c r="D427" s="238"/>
      <c r="E427" s="216">
        <v>1993</v>
      </c>
      <c r="F427" s="216" t="s">
        <v>420</v>
      </c>
      <c r="G427" s="216">
        <v>9</v>
      </c>
      <c r="H427" s="216" t="s">
        <v>323</v>
      </c>
      <c r="I427" s="217">
        <v>11836.7</v>
      </c>
      <c r="J427" s="217">
        <v>10439.700000000001</v>
      </c>
      <c r="K427" s="218">
        <v>544</v>
      </c>
      <c r="L427" s="216" t="s">
        <v>417</v>
      </c>
      <c r="M427" s="216" t="s">
        <v>423</v>
      </c>
      <c r="N427" s="219" t="s">
        <v>494</v>
      </c>
      <c r="O427" s="221">
        <v>22696735.919999998</v>
      </c>
      <c r="P427" s="221">
        <v>0</v>
      </c>
      <c r="Q427" s="221">
        <v>0</v>
      </c>
      <c r="R427" s="221">
        <v>0</v>
      </c>
      <c r="S427" s="221">
        <f t="shared" si="176"/>
        <v>22696735.919999998</v>
      </c>
      <c r="T427" s="221">
        <f t="shared" si="173"/>
        <v>1917.4884824317585</v>
      </c>
      <c r="U427" s="221">
        <v>1917.49</v>
      </c>
      <c r="V427" s="27">
        <f t="shared" si="169"/>
        <v>0</v>
      </c>
    </row>
    <row r="428" spans="1:22" ht="35.25" x14ac:dyDescent="0.5">
      <c r="A428">
        <v>1</v>
      </c>
      <c r="B428" s="223">
        <f>SUBTOTAL(9,$A$367:A428)</f>
        <v>58</v>
      </c>
      <c r="C428" s="225" t="s">
        <v>338</v>
      </c>
      <c r="D428" s="238"/>
      <c r="E428" s="216">
        <v>1971</v>
      </c>
      <c r="F428" s="216" t="s">
        <v>419</v>
      </c>
      <c r="G428" s="216">
        <v>5</v>
      </c>
      <c r="H428" s="216">
        <v>4</v>
      </c>
      <c r="I428" s="217">
        <v>3906.16</v>
      </c>
      <c r="J428" s="217">
        <v>3356.87</v>
      </c>
      <c r="K428" s="218">
        <v>131</v>
      </c>
      <c r="L428" s="216" t="s">
        <v>417</v>
      </c>
      <c r="M428" s="216" t="s">
        <v>423</v>
      </c>
      <c r="N428" s="219" t="s">
        <v>491</v>
      </c>
      <c r="O428" s="221">
        <v>12105615.6</v>
      </c>
      <c r="P428" s="221">
        <v>0</v>
      </c>
      <c r="Q428" s="221">
        <v>0</v>
      </c>
      <c r="R428" s="221">
        <v>0</v>
      </c>
      <c r="S428" s="221">
        <f t="shared" si="176"/>
        <v>12105615.6</v>
      </c>
      <c r="T428" s="221">
        <f t="shared" si="173"/>
        <v>3099.1089970712924</v>
      </c>
      <c r="U428" s="221">
        <v>3099.11</v>
      </c>
      <c r="V428" s="27">
        <f t="shared" si="169"/>
        <v>0</v>
      </c>
    </row>
    <row r="429" spans="1:22" ht="35.25" x14ac:dyDescent="0.5">
      <c r="A429">
        <v>1</v>
      </c>
      <c r="B429" s="223">
        <f>SUBTOTAL(9,$A$367:A429)</f>
        <v>59</v>
      </c>
      <c r="C429" s="225" t="s">
        <v>331</v>
      </c>
      <c r="D429" s="238"/>
      <c r="E429" s="216">
        <v>1989</v>
      </c>
      <c r="F429" s="216" t="s">
        <v>419</v>
      </c>
      <c r="G429" s="216">
        <v>9</v>
      </c>
      <c r="H429" s="216" t="s">
        <v>319</v>
      </c>
      <c r="I429" s="217">
        <v>6915.9</v>
      </c>
      <c r="J429" s="217">
        <v>3983.79</v>
      </c>
      <c r="K429" s="218">
        <v>173</v>
      </c>
      <c r="L429" s="216" t="s">
        <v>417</v>
      </c>
      <c r="M429" s="216" t="s">
        <v>423</v>
      </c>
      <c r="N429" s="219" t="s">
        <v>491</v>
      </c>
      <c r="O429" s="221">
        <v>9182678.5</v>
      </c>
      <c r="P429" s="221">
        <v>0</v>
      </c>
      <c r="Q429" s="221">
        <v>0</v>
      </c>
      <c r="R429" s="221">
        <v>0</v>
      </c>
      <c r="S429" s="221">
        <f t="shared" si="176"/>
        <v>9182678.5</v>
      </c>
      <c r="T429" s="221">
        <f t="shared" si="173"/>
        <v>1327.7633424427768</v>
      </c>
      <c r="U429" s="221">
        <v>1327.76</v>
      </c>
      <c r="V429" s="27">
        <f t="shared" si="169"/>
        <v>0</v>
      </c>
    </row>
    <row r="430" spans="1:22" ht="35.25" x14ac:dyDescent="0.5">
      <c r="A430">
        <v>1</v>
      </c>
      <c r="B430" s="223">
        <f>SUBTOTAL(9,$A$367:A430)</f>
        <v>60</v>
      </c>
      <c r="C430" s="225" t="s">
        <v>336</v>
      </c>
      <c r="D430" s="238"/>
      <c r="E430" s="216">
        <v>1975</v>
      </c>
      <c r="F430" s="216" t="s">
        <v>419</v>
      </c>
      <c r="G430" s="216">
        <v>5</v>
      </c>
      <c r="H430" s="216" t="s">
        <v>334</v>
      </c>
      <c r="I430" s="217">
        <v>4984.5</v>
      </c>
      <c r="J430" s="217">
        <v>3753.2</v>
      </c>
      <c r="K430" s="218">
        <v>168</v>
      </c>
      <c r="L430" s="216" t="s">
        <v>417</v>
      </c>
      <c r="M430" s="216" t="s">
        <v>423</v>
      </c>
      <c r="N430" s="219" t="s">
        <v>501</v>
      </c>
      <c r="O430" s="221">
        <v>15028476</v>
      </c>
      <c r="P430" s="221">
        <v>0</v>
      </c>
      <c r="Q430" s="221">
        <v>0</v>
      </c>
      <c r="R430" s="221">
        <v>0</v>
      </c>
      <c r="S430" s="221">
        <f t="shared" si="176"/>
        <v>15028476</v>
      </c>
      <c r="T430" s="221">
        <f t="shared" si="173"/>
        <v>3015.0418296719831</v>
      </c>
      <c r="U430" s="221">
        <v>3308.26</v>
      </c>
      <c r="V430" s="27">
        <f t="shared" si="169"/>
        <v>0</v>
      </c>
    </row>
    <row r="431" spans="1:22" ht="35.25" x14ac:dyDescent="0.5">
      <c r="A431">
        <v>1</v>
      </c>
      <c r="B431" s="223">
        <f>SUBTOTAL(9,$A$367:A431)</f>
        <v>61</v>
      </c>
      <c r="C431" s="225" t="s">
        <v>675</v>
      </c>
      <c r="D431" s="238"/>
      <c r="E431" s="216">
        <v>2005</v>
      </c>
      <c r="F431" s="216" t="s">
        <v>419</v>
      </c>
      <c r="G431" s="216">
        <v>9</v>
      </c>
      <c r="H431" s="216">
        <v>2</v>
      </c>
      <c r="I431" s="217">
        <v>4866.3</v>
      </c>
      <c r="J431" s="217">
        <v>4317.5</v>
      </c>
      <c r="K431" s="218">
        <v>234</v>
      </c>
      <c r="L431" s="216" t="s">
        <v>417</v>
      </c>
      <c r="M431" s="216" t="s">
        <v>426</v>
      </c>
      <c r="N431" s="219" t="s">
        <v>685</v>
      </c>
      <c r="O431" s="221">
        <v>8326563</v>
      </c>
      <c r="P431" s="221">
        <v>0</v>
      </c>
      <c r="Q431" s="221">
        <v>0</v>
      </c>
      <c r="R431" s="221">
        <v>0</v>
      </c>
      <c r="S431" s="221">
        <f t="shared" si="176"/>
        <v>8326563</v>
      </c>
      <c r="T431" s="221">
        <f t="shared" si="173"/>
        <v>1711.0665187103136</v>
      </c>
      <c r="U431" s="221">
        <f>T431</f>
        <v>1711.0665187103136</v>
      </c>
      <c r="V431" s="27">
        <f t="shared" si="169"/>
        <v>0</v>
      </c>
    </row>
    <row r="432" spans="1:22" ht="35.25" x14ac:dyDescent="0.5">
      <c r="A432">
        <v>1</v>
      </c>
      <c r="B432" s="223">
        <f>SUBTOTAL(9,$A$367:A432)</f>
        <v>62</v>
      </c>
      <c r="C432" s="225" t="s">
        <v>355</v>
      </c>
      <c r="D432" s="238"/>
      <c r="E432" s="216">
        <v>1951</v>
      </c>
      <c r="F432" s="216" t="s">
        <v>419</v>
      </c>
      <c r="G432" s="216">
        <v>2</v>
      </c>
      <c r="H432" s="216" t="s">
        <v>319</v>
      </c>
      <c r="I432" s="217">
        <v>734</v>
      </c>
      <c r="J432" s="217">
        <v>672.6</v>
      </c>
      <c r="K432" s="218">
        <v>26</v>
      </c>
      <c r="L432" s="216" t="s">
        <v>417</v>
      </c>
      <c r="M432" s="216" t="s">
        <v>423</v>
      </c>
      <c r="N432" s="219" t="s">
        <v>437</v>
      </c>
      <c r="O432" s="221">
        <v>14760776.110000001</v>
      </c>
      <c r="P432" s="221">
        <v>0</v>
      </c>
      <c r="Q432" s="221">
        <v>0</v>
      </c>
      <c r="R432" s="221">
        <v>0</v>
      </c>
      <c r="S432" s="221">
        <f t="shared" si="176"/>
        <v>14760776.110000001</v>
      </c>
      <c r="T432" s="221">
        <f t="shared" si="173"/>
        <v>20110.049196185289</v>
      </c>
      <c r="U432" s="221">
        <v>21472.45</v>
      </c>
      <c r="V432" s="27">
        <f t="shared" si="169"/>
        <v>0</v>
      </c>
    </row>
    <row r="433" spans="1:22" ht="35.25" x14ac:dyDescent="0.5">
      <c r="A433">
        <v>1</v>
      </c>
      <c r="B433" s="223">
        <f>SUBTOTAL(9,$A$367:A433)</f>
        <v>63</v>
      </c>
      <c r="C433" s="225" t="s">
        <v>354</v>
      </c>
      <c r="D433" s="238"/>
      <c r="E433" s="216">
        <v>1952</v>
      </c>
      <c r="F433" s="216" t="s">
        <v>419</v>
      </c>
      <c r="G433" s="216">
        <v>2</v>
      </c>
      <c r="H433" s="216" t="s">
        <v>319</v>
      </c>
      <c r="I433" s="217">
        <v>885.8</v>
      </c>
      <c r="J433" s="217">
        <v>819.7</v>
      </c>
      <c r="K433" s="218">
        <v>31</v>
      </c>
      <c r="L433" s="216" t="s">
        <v>417</v>
      </c>
      <c r="M433" s="216" t="s">
        <v>424</v>
      </c>
      <c r="N433" s="219" t="s">
        <v>425</v>
      </c>
      <c r="O433" s="221">
        <v>16360997.43</v>
      </c>
      <c r="P433" s="221">
        <v>0</v>
      </c>
      <c r="Q433" s="221">
        <v>0</v>
      </c>
      <c r="R433" s="221">
        <v>0</v>
      </c>
      <c r="S433" s="221">
        <f t="shared" si="176"/>
        <v>16360997.43</v>
      </c>
      <c r="T433" s="221">
        <f t="shared" si="173"/>
        <v>18470.306423571914</v>
      </c>
      <c r="U433" s="221">
        <v>19873.18</v>
      </c>
      <c r="V433" s="27">
        <f t="shared" si="169"/>
        <v>0</v>
      </c>
    </row>
    <row r="434" spans="1:22" ht="35.25" x14ac:dyDescent="0.5">
      <c r="A434">
        <v>1</v>
      </c>
      <c r="B434" s="223">
        <f>SUBTOTAL(9,$A$367:A434)</f>
        <v>64</v>
      </c>
      <c r="C434" s="225" t="s">
        <v>349</v>
      </c>
      <c r="D434" s="238"/>
      <c r="E434" s="216">
        <v>1976</v>
      </c>
      <c r="F434" s="216" t="s">
        <v>419</v>
      </c>
      <c r="G434" s="216">
        <v>5</v>
      </c>
      <c r="H434" s="216" t="s">
        <v>323</v>
      </c>
      <c r="I434" s="217">
        <v>7511.5</v>
      </c>
      <c r="J434" s="217">
        <v>4424.8</v>
      </c>
      <c r="K434" s="218">
        <v>194</v>
      </c>
      <c r="L434" s="216" t="s">
        <v>417</v>
      </c>
      <c r="M434" s="216" t="s">
        <v>423</v>
      </c>
      <c r="N434" s="219" t="s">
        <v>495</v>
      </c>
      <c r="O434" s="221">
        <v>18432428.520000003</v>
      </c>
      <c r="P434" s="221">
        <v>0</v>
      </c>
      <c r="Q434" s="221">
        <v>0</v>
      </c>
      <c r="R434" s="221">
        <v>0</v>
      </c>
      <c r="S434" s="221">
        <f t="shared" si="176"/>
        <v>18432428.520000003</v>
      </c>
      <c r="T434" s="221">
        <f t="shared" si="173"/>
        <v>2453.8944977700862</v>
      </c>
      <c r="U434" s="221">
        <v>2500.06</v>
      </c>
      <c r="V434" s="27">
        <f t="shared" si="169"/>
        <v>0</v>
      </c>
    </row>
    <row r="435" spans="1:22" ht="35.25" x14ac:dyDescent="0.5">
      <c r="A435">
        <v>1</v>
      </c>
      <c r="B435" s="223">
        <f>SUBTOTAL(9,$A$367:A435)</f>
        <v>65</v>
      </c>
      <c r="C435" s="225" t="s">
        <v>359</v>
      </c>
      <c r="D435" s="238"/>
      <c r="E435" s="216">
        <v>1978</v>
      </c>
      <c r="F435" s="216" t="s">
        <v>419</v>
      </c>
      <c r="G435" s="216">
        <v>3</v>
      </c>
      <c r="H435" s="216" t="s">
        <v>319</v>
      </c>
      <c r="I435" s="217">
        <v>1579.06</v>
      </c>
      <c r="J435" s="217">
        <v>1094.5999999999999</v>
      </c>
      <c r="K435" s="218">
        <v>61</v>
      </c>
      <c r="L435" s="216" t="s">
        <v>417</v>
      </c>
      <c r="M435" s="216" t="s">
        <v>423</v>
      </c>
      <c r="N435" s="219" t="s">
        <v>497</v>
      </c>
      <c r="O435" s="221">
        <v>8417729.5800000001</v>
      </c>
      <c r="P435" s="221">
        <v>0</v>
      </c>
      <c r="Q435" s="221">
        <v>0</v>
      </c>
      <c r="R435" s="221">
        <v>0</v>
      </c>
      <c r="S435" s="221">
        <f t="shared" si="176"/>
        <v>8417729.5800000001</v>
      </c>
      <c r="T435" s="221">
        <f t="shared" si="173"/>
        <v>5330.8484668093679</v>
      </c>
      <c r="U435" s="221">
        <v>5431.15</v>
      </c>
      <c r="V435" s="27">
        <f t="shared" si="169"/>
        <v>0</v>
      </c>
    </row>
    <row r="436" spans="1:22" ht="35.25" x14ac:dyDescent="0.5">
      <c r="A436">
        <v>1</v>
      </c>
      <c r="B436" s="223">
        <f>SUBTOTAL(9,$A$367:A436)</f>
        <v>66</v>
      </c>
      <c r="C436" s="225" t="s">
        <v>714</v>
      </c>
      <c r="D436" s="238"/>
      <c r="E436" s="216">
        <v>1984</v>
      </c>
      <c r="F436" s="216" t="s">
        <v>419</v>
      </c>
      <c r="G436" s="216">
        <v>5</v>
      </c>
      <c r="H436" s="216" t="s">
        <v>321</v>
      </c>
      <c r="I436" s="217">
        <v>3162.5</v>
      </c>
      <c r="J436" s="217">
        <v>2737</v>
      </c>
      <c r="K436" s="218">
        <v>110</v>
      </c>
      <c r="L436" s="216" t="s">
        <v>417</v>
      </c>
      <c r="M436" s="216" t="s">
        <v>423</v>
      </c>
      <c r="N436" s="219" t="s">
        <v>496</v>
      </c>
      <c r="O436" s="221">
        <v>10953254.119999999</v>
      </c>
      <c r="P436" s="221">
        <v>0</v>
      </c>
      <c r="Q436" s="221">
        <v>0</v>
      </c>
      <c r="R436" s="221">
        <v>0</v>
      </c>
      <c r="S436" s="221">
        <f t="shared" si="176"/>
        <v>10953254.119999999</v>
      </c>
      <c r="T436" s="221">
        <f t="shared" si="173"/>
        <v>3463.4795636363633</v>
      </c>
      <c r="U436" s="221">
        <v>3463.48</v>
      </c>
      <c r="V436" s="27">
        <f t="shared" si="169"/>
        <v>0</v>
      </c>
    </row>
    <row r="437" spans="1:22" ht="35.25" x14ac:dyDescent="0.5">
      <c r="A437">
        <v>1</v>
      </c>
      <c r="B437" s="223">
        <f>SUBTOTAL(9,$A$367:A437)</f>
        <v>67</v>
      </c>
      <c r="C437" s="225" t="s">
        <v>358</v>
      </c>
      <c r="D437" s="238"/>
      <c r="E437" s="216">
        <v>1967</v>
      </c>
      <c r="F437" s="216" t="s">
        <v>419</v>
      </c>
      <c r="G437" s="216">
        <v>2</v>
      </c>
      <c r="H437" s="216" t="s">
        <v>319</v>
      </c>
      <c r="I437" s="217">
        <v>390.6</v>
      </c>
      <c r="J437" s="217">
        <v>390.6</v>
      </c>
      <c r="K437" s="218">
        <v>30</v>
      </c>
      <c r="L437" s="216" t="s">
        <v>417</v>
      </c>
      <c r="M437" s="216" t="s">
        <v>424</v>
      </c>
      <c r="N437" s="219" t="s">
        <v>425</v>
      </c>
      <c r="O437" s="221">
        <v>4637304.5</v>
      </c>
      <c r="P437" s="221">
        <v>0</v>
      </c>
      <c r="Q437" s="221">
        <v>0</v>
      </c>
      <c r="R437" s="221">
        <v>0</v>
      </c>
      <c r="S437" s="221">
        <f t="shared" si="176"/>
        <v>4637304.5</v>
      </c>
      <c r="T437" s="221">
        <f t="shared" si="173"/>
        <v>11872.259344598053</v>
      </c>
      <c r="U437" s="221">
        <v>12095.63</v>
      </c>
      <c r="V437" s="27">
        <f t="shared" si="169"/>
        <v>0</v>
      </c>
    </row>
    <row r="438" spans="1:22" ht="35.25" x14ac:dyDescent="0.5">
      <c r="A438">
        <v>1</v>
      </c>
      <c r="B438" s="223">
        <f>SUBTOTAL(9,$A$367:A438)</f>
        <v>68</v>
      </c>
      <c r="C438" s="225" t="s">
        <v>357</v>
      </c>
      <c r="D438" s="238"/>
      <c r="E438" s="216">
        <v>1986</v>
      </c>
      <c r="F438" s="216" t="s">
        <v>420</v>
      </c>
      <c r="G438" s="216">
        <v>2</v>
      </c>
      <c r="H438" s="216" t="s">
        <v>319</v>
      </c>
      <c r="I438" s="217">
        <v>561.9</v>
      </c>
      <c r="J438" s="217">
        <v>538.70000000000005</v>
      </c>
      <c r="K438" s="218">
        <v>31</v>
      </c>
      <c r="L438" s="216" t="s">
        <v>417</v>
      </c>
      <c r="M438" s="216" t="s">
        <v>424</v>
      </c>
      <c r="N438" s="219" t="s">
        <v>425</v>
      </c>
      <c r="O438" s="221">
        <v>7235870.7000000002</v>
      </c>
      <c r="P438" s="221">
        <v>0</v>
      </c>
      <c r="Q438" s="221">
        <v>0</v>
      </c>
      <c r="R438" s="221">
        <v>0</v>
      </c>
      <c r="S438" s="221">
        <f t="shared" si="176"/>
        <v>7235870.7000000002</v>
      </c>
      <c r="T438" s="221">
        <f t="shared" si="173"/>
        <v>12877.506139882542</v>
      </c>
      <c r="U438" s="221">
        <v>13119.79</v>
      </c>
      <c r="V438" s="27">
        <f t="shared" si="169"/>
        <v>0</v>
      </c>
    </row>
    <row r="439" spans="1:22" ht="35.25" x14ac:dyDescent="0.5">
      <c r="B439" s="236" t="s">
        <v>502</v>
      </c>
      <c r="C439" s="236"/>
      <c r="D439" s="216" t="s">
        <v>422</v>
      </c>
      <c r="E439" s="216" t="s">
        <v>422</v>
      </c>
      <c r="F439" s="216" t="s">
        <v>422</v>
      </c>
      <c r="G439" s="216" t="s">
        <v>422</v>
      </c>
      <c r="H439" s="216" t="s">
        <v>422</v>
      </c>
      <c r="I439" s="217">
        <f>I440+I441</f>
        <v>2526.8999999999996</v>
      </c>
      <c r="J439" s="217">
        <f t="shared" ref="J439:K439" si="177">J440+J441</f>
        <v>2072.8999999999996</v>
      </c>
      <c r="K439" s="218">
        <f t="shared" si="177"/>
        <v>106</v>
      </c>
      <c r="L439" s="216" t="s">
        <v>422</v>
      </c>
      <c r="M439" s="216" t="s">
        <v>422</v>
      </c>
      <c r="N439" s="219" t="s">
        <v>422</v>
      </c>
      <c r="O439" s="221">
        <f>O440+O441</f>
        <v>19422530.299999997</v>
      </c>
      <c r="P439" s="221">
        <f t="shared" ref="P439:S439" si="178">P440+P441</f>
        <v>0</v>
      </c>
      <c r="Q439" s="221">
        <f t="shared" si="178"/>
        <v>0</v>
      </c>
      <c r="R439" s="221">
        <f t="shared" si="178"/>
        <v>0</v>
      </c>
      <c r="S439" s="221">
        <f t="shared" si="178"/>
        <v>19422530.299999997</v>
      </c>
      <c r="T439" s="221">
        <f t="shared" ref="T439:T445" si="179">O439/I439</f>
        <v>7686.3074518184339</v>
      </c>
      <c r="U439" s="221">
        <f>MAX(U440:U441)</f>
        <v>11978.1</v>
      </c>
      <c r="V439" s="27">
        <f t="shared" si="169"/>
        <v>0</v>
      </c>
    </row>
    <row r="440" spans="1:22" ht="35.25" x14ac:dyDescent="0.5">
      <c r="A440">
        <v>1</v>
      </c>
      <c r="B440" s="223">
        <f>SUBTOTAL(9,$A$367:A440)</f>
        <v>69</v>
      </c>
      <c r="C440" s="225" t="s">
        <v>366</v>
      </c>
      <c r="D440" s="238"/>
      <c r="E440" s="216">
        <v>1968</v>
      </c>
      <c r="F440" s="216" t="s">
        <v>419</v>
      </c>
      <c r="G440" s="216">
        <v>5</v>
      </c>
      <c r="H440" s="216" t="s">
        <v>317</v>
      </c>
      <c r="I440" s="217">
        <v>1663.1</v>
      </c>
      <c r="J440" s="217">
        <v>1209.0999999999999</v>
      </c>
      <c r="K440" s="218">
        <v>88</v>
      </c>
      <c r="L440" s="216" t="s">
        <v>417</v>
      </c>
      <c r="M440" s="216" t="s">
        <v>424</v>
      </c>
      <c r="N440" s="219" t="s">
        <v>425</v>
      </c>
      <c r="O440" s="221">
        <v>9266922.2999999989</v>
      </c>
      <c r="P440" s="221">
        <v>0</v>
      </c>
      <c r="Q440" s="221">
        <v>0</v>
      </c>
      <c r="R440" s="221">
        <v>0</v>
      </c>
      <c r="S440" s="221">
        <f t="shared" ref="S440:S445" si="180">O440-P440-Q440-R440</f>
        <v>9266922.2999999989</v>
      </c>
      <c r="T440" s="221">
        <f t="shared" si="179"/>
        <v>5572.0776261198962</v>
      </c>
      <c r="U440" s="221">
        <v>5676.96</v>
      </c>
      <c r="V440" s="27">
        <f t="shared" si="169"/>
        <v>0</v>
      </c>
    </row>
    <row r="441" spans="1:22" ht="35.25" x14ac:dyDescent="0.5">
      <c r="A441">
        <v>1</v>
      </c>
      <c r="B441" s="223">
        <f>SUBTOTAL(9,$A$367:A441)</f>
        <v>70</v>
      </c>
      <c r="C441" s="225" t="s">
        <v>373</v>
      </c>
      <c r="D441" s="238"/>
      <c r="E441" s="216">
        <v>1979</v>
      </c>
      <c r="F441" s="216" t="s">
        <v>419</v>
      </c>
      <c r="G441" s="216">
        <v>2</v>
      </c>
      <c r="H441" s="216" t="s">
        <v>326</v>
      </c>
      <c r="I441" s="217">
        <v>863.8</v>
      </c>
      <c r="J441" s="217">
        <v>863.8</v>
      </c>
      <c r="K441" s="218">
        <v>18</v>
      </c>
      <c r="L441" s="216" t="s">
        <v>417</v>
      </c>
      <c r="M441" s="216" t="s">
        <v>423</v>
      </c>
      <c r="N441" s="219" t="s">
        <v>511</v>
      </c>
      <c r="O441" s="221">
        <v>10155608</v>
      </c>
      <c r="P441" s="221">
        <v>0</v>
      </c>
      <c r="Q441" s="221">
        <v>0</v>
      </c>
      <c r="R441" s="221">
        <v>0</v>
      </c>
      <c r="S441" s="221">
        <f t="shared" si="180"/>
        <v>10155608</v>
      </c>
      <c r="T441" s="221">
        <f t="shared" si="179"/>
        <v>11756.89742996064</v>
      </c>
      <c r="U441" s="221">
        <v>11978.1</v>
      </c>
      <c r="V441" s="27">
        <f t="shared" si="169"/>
        <v>0</v>
      </c>
    </row>
    <row r="442" spans="1:22" ht="35.25" x14ac:dyDescent="0.5">
      <c r="B442" s="236" t="s">
        <v>506</v>
      </c>
      <c r="C442" s="236"/>
      <c r="D442" s="216" t="s">
        <v>422</v>
      </c>
      <c r="E442" s="216" t="s">
        <v>422</v>
      </c>
      <c r="F442" s="216" t="s">
        <v>422</v>
      </c>
      <c r="G442" s="216" t="s">
        <v>422</v>
      </c>
      <c r="H442" s="216" t="s">
        <v>422</v>
      </c>
      <c r="I442" s="217">
        <f>I443</f>
        <v>374.4</v>
      </c>
      <c r="J442" s="217">
        <f t="shared" ref="J442:K442" si="181">J443</f>
        <v>374.4</v>
      </c>
      <c r="K442" s="218">
        <f t="shared" si="181"/>
        <v>8</v>
      </c>
      <c r="L442" s="216" t="s">
        <v>422</v>
      </c>
      <c r="M442" s="216" t="s">
        <v>422</v>
      </c>
      <c r="N442" s="219" t="s">
        <v>422</v>
      </c>
      <c r="O442" s="221">
        <v>6652275.6299999999</v>
      </c>
      <c r="P442" s="221">
        <f t="shared" ref="P442:S442" si="182">P443</f>
        <v>0</v>
      </c>
      <c r="Q442" s="221">
        <f t="shared" si="182"/>
        <v>0</v>
      </c>
      <c r="R442" s="221">
        <f t="shared" si="182"/>
        <v>0</v>
      </c>
      <c r="S442" s="221">
        <f t="shared" si="182"/>
        <v>6652275.6299999999</v>
      </c>
      <c r="T442" s="221">
        <f t="shared" si="179"/>
        <v>17767.830208333333</v>
      </c>
      <c r="U442" s="221">
        <f>U443</f>
        <v>17767.830000000002</v>
      </c>
      <c r="V442" s="27">
        <f t="shared" si="169"/>
        <v>0</v>
      </c>
    </row>
    <row r="443" spans="1:22" ht="35.25" x14ac:dyDescent="0.5">
      <c r="A443">
        <v>1</v>
      </c>
      <c r="B443" s="223">
        <f>SUBTOTAL(9,$A$367:A443)</f>
        <v>71</v>
      </c>
      <c r="C443" s="225" t="s">
        <v>372</v>
      </c>
      <c r="D443" s="238"/>
      <c r="E443" s="216">
        <v>1991</v>
      </c>
      <c r="F443" s="216" t="s">
        <v>419</v>
      </c>
      <c r="G443" s="216">
        <v>2</v>
      </c>
      <c r="H443" s="216" t="s">
        <v>317</v>
      </c>
      <c r="I443" s="217">
        <v>374.4</v>
      </c>
      <c r="J443" s="217">
        <v>374.4</v>
      </c>
      <c r="K443" s="218">
        <v>8</v>
      </c>
      <c r="L443" s="216" t="s">
        <v>417</v>
      </c>
      <c r="M443" s="216" t="s">
        <v>424</v>
      </c>
      <c r="N443" s="219" t="s">
        <v>425</v>
      </c>
      <c r="O443" s="221">
        <v>6652275.6299999999</v>
      </c>
      <c r="P443" s="221">
        <v>0</v>
      </c>
      <c r="Q443" s="221">
        <v>0</v>
      </c>
      <c r="R443" s="221">
        <v>0</v>
      </c>
      <c r="S443" s="221">
        <f t="shared" si="180"/>
        <v>6652275.6299999999</v>
      </c>
      <c r="T443" s="221">
        <f t="shared" si="179"/>
        <v>17767.830208333333</v>
      </c>
      <c r="U443" s="221">
        <v>17767.830000000002</v>
      </c>
      <c r="V443" s="27">
        <f t="shared" si="169"/>
        <v>0</v>
      </c>
    </row>
    <row r="444" spans="1:22" ht="35.25" x14ac:dyDescent="0.5">
      <c r="B444" s="236" t="s">
        <v>508</v>
      </c>
      <c r="C444" s="236"/>
      <c r="D444" s="216" t="s">
        <v>422</v>
      </c>
      <c r="E444" s="216" t="s">
        <v>422</v>
      </c>
      <c r="F444" s="216" t="s">
        <v>422</v>
      </c>
      <c r="G444" s="216" t="s">
        <v>422</v>
      </c>
      <c r="H444" s="216" t="s">
        <v>422</v>
      </c>
      <c r="I444" s="217">
        <f>I445</f>
        <v>931.4</v>
      </c>
      <c r="J444" s="217">
        <f t="shared" ref="J444:K444" si="183">J445</f>
        <v>847.4</v>
      </c>
      <c r="K444" s="218">
        <f t="shared" si="183"/>
        <v>57</v>
      </c>
      <c r="L444" s="216" t="s">
        <v>422</v>
      </c>
      <c r="M444" s="216" t="s">
        <v>422</v>
      </c>
      <c r="N444" s="219" t="s">
        <v>422</v>
      </c>
      <c r="O444" s="221">
        <v>11298113.899999999</v>
      </c>
      <c r="P444" s="221">
        <f t="shared" ref="P444:S444" si="184">P445</f>
        <v>0</v>
      </c>
      <c r="Q444" s="221">
        <f t="shared" si="184"/>
        <v>0</v>
      </c>
      <c r="R444" s="221">
        <f t="shared" si="184"/>
        <v>0</v>
      </c>
      <c r="S444" s="221">
        <f t="shared" si="184"/>
        <v>11298113.899999999</v>
      </c>
      <c r="T444" s="221">
        <f t="shared" si="179"/>
        <v>12130.248980030061</v>
      </c>
      <c r="U444" s="221">
        <f>U445</f>
        <v>12358.47</v>
      </c>
      <c r="V444" s="27">
        <f t="shared" si="169"/>
        <v>0</v>
      </c>
    </row>
    <row r="445" spans="1:22" ht="35.25" x14ac:dyDescent="0.5">
      <c r="A445">
        <v>1</v>
      </c>
      <c r="B445" s="223">
        <f>SUBTOTAL(9,$A$367:A445)</f>
        <v>72</v>
      </c>
      <c r="C445" s="225" t="s">
        <v>378</v>
      </c>
      <c r="D445" s="238"/>
      <c r="E445" s="216">
        <v>1972</v>
      </c>
      <c r="F445" s="216" t="s">
        <v>419</v>
      </c>
      <c r="G445" s="216">
        <v>2</v>
      </c>
      <c r="H445" s="216" t="s">
        <v>326</v>
      </c>
      <c r="I445" s="217">
        <v>931.4</v>
      </c>
      <c r="J445" s="217">
        <v>847.4</v>
      </c>
      <c r="K445" s="218">
        <v>57</v>
      </c>
      <c r="L445" s="216" t="s">
        <v>417</v>
      </c>
      <c r="M445" s="216" t="s">
        <v>426</v>
      </c>
      <c r="N445" s="219" t="s">
        <v>513</v>
      </c>
      <c r="O445" s="221">
        <v>11298113.899999999</v>
      </c>
      <c r="P445" s="221">
        <v>0</v>
      </c>
      <c r="Q445" s="221">
        <v>0</v>
      </c>
      <c r="R445" s="221">
        <v>0</v>
      </c>
      <c r="S445" s="221">
        <f t="shared" si="180"/>
        <v>11298113.899999999</v>
      </c>
      <c r="T445" s="221">
        <f t="shared" si="179"/>
        <v>12130.248980030061</v>
      </c>
      <c r="U445" s="221">
        <v>12358.47</v>
      </c>
      <c r="V445" s="27">
        <f t="shared" si="169"/>
        <v>0</v>
      </c>
    </row>
    <row r="446" spans="1:22" ht="35.25" x14ac:dyDescent="0.5">
      <c r="B446" s="215" t="s">
        <v>690</v>
      </c>
      <c r="C446" s="222"/>
      <c r="D446" s="216" t="s">
        <v>422</v>
      </c>
      <c r="E446" s="216" t="s">
        <v>422</v>
      </c>
      <c r="F446" s="216" t="s">
        <v>422</v>
      </c>
      <c r="G446" s="216" t="s">
        <v>422</v>
      </c>
      <c r="H446" s="216" t="s">
        <v>422</v>
      </c>
      <c r="I446" s="217">
        <f>SUM(I447:I448)</f>
        <v>10366.200000000001</v>
      </c>
      <c r="J446" s="217">
        <f t="shared" ref="J446:K446" si="185">SUM(J447:J448)</f>
        <v>8003</v>
      </c>
      <c r="K446" s="218">
        <f t="shared" si="185"/>
        <v>241</v>
      </c>
      <c r="L446" s="216" t="s">
        <v>422</v>
      </c>
      <c r="M446" s="216" t="s">
        <v>422</v>
      </c>
      <c r="N446" s="219" t="s">
        <v>422</v>
      </c>
      <c r="O446" s="221">
        <v>30289101</v>
      </c>
      <c r="P446" s="221">
        <f t="shared" ref="P446:S446" si="186">SUM(P447:P448)</f>
        <v>0</v>
      </c>
      <c r="Q446" s="221">
        <f t="shared" si="186"/>
        <v>0</v>
      </c>
      <c r="R446" s="221">
        <f t="shared" si="186"/>
        <v>0</v>
      </c>
      <c r="S446" s="221">
        <f t="shared" si="186"/>
        <v>30289101</v>
      </c>
      <c r="T446" s="221">
        <f t="shared" ref="T446:T453" si="187">O446/I446</f>
        <v>2921.9097644266944</v>
      </c>
      <c r="U446" s="221">
        <f>MAX(U447:U448)</f>
        <v>3080.91</v>
      </c>
      <c r="V446" s="27">
        <f t="shared" si="169"/>
        <v>0</v>
      </c>
    </row>
    <row r="447" spans="1:22" ht="35.25" x14ac:dyDescent="0.5">
      <c r="A447">
        <v>1</v>
      </c>
      <c r="B447" s="223">
        <f>SUBTOTAL(9,$A$367:A447)</f>
        <v>73</v>
      </c>
      <c r="C447" s="225" t="s">
        <v>173</v>
      </c>
      <c r="D447" s="216"/>
      <c r="E447" s="216">
        <v>1982</v>
      </c>
      <c r="F447" s="216" t="s">
        <v>419</v>
      </c>
      <c r="G447" s="216">
        <v>5</v>
      </c>
      <c r="H447" s="216" t="s">
        <v>320</v>
      </c>
      <c r="I447" s="217">
        <v>6393.4</v>
      </c>
      <c r="J447" s="217">
        <v>5209.3</v>
      </c>
      <c r="K447" s="218">
        <v>185</v>
      </c>
      <c r="L447" s="216" t="s">
        <v>417</v>
      </c>
      <c r="M447" s="216" t="s">
        <v>423</v>
      </c>
      <c r="N447" s="219" t="s">
        <v>440</v>
      </c>
      <c r="O447" s="221">
        <v>19333739</v>
      </c>
      <c r="P447" s="221">
        <v>0</v>
      </c>
      <c r="Q447" s="221">
        <v>0</v>
      </c>
      <c r="R447" s="221">
        <v>0</v>
      </c>
      <c r="S447" s="221">
        <f t="shared" ref="S447:S453" si="188">O447-P447-Q447-R447</f>
        <v>19333739</v>
      </c>
      <c r="T447" s="221">
        <f t="shared" si="187"/>
        <v>3024.0152344605376</v>
      </c>
      <c r="U447" s="221">
        <v>3080.91</v>
      </c>
      <c r="V447" s="27">
        <f t="shared" si="169"/>
        <v>0</v>
      </c>
    </row>
    <row r="448" spans="1:22" ht="35.25" x14ac:dyDescent="0.5">
      <c r="A448">
        <v>1</v>
      </c>
      <c r="B448" s="223">
        <f>SUBTOTAL(9,$A$367:A448)</f>
        <v>74</v>
      </c>
      <c r="C448" s="225" t="s">
        <v>174</v>
      </c>
      <c r="D448" s="216"/>
      <c r="E448" s="216">
        <v>1980</v>
      </c>
      <c r="F448" s="216" t="s">
        <v>419</v>
      </c>
      <c r="G448" s="216">
        <v>5</v>
      </c>
      <c r="H448" s="216" t="s">
        <v>321</v>
      </c>
      <c r="I448" s="217">
        <v>3972.8</v>
      </c>
      <c r="J448" s="217">
        <v>2793.7</v>
      </c>
      <c r="K448" s="218">
        <v>56</v>
      </c>
      <c r="L448" s="216" t="s">
        <v>417</v>
      </c>
      <c r="M448" s="216" t="s">
        <v>423</v>
      </c>
      <c r="N448" s="219" t="s">
        <v>442</v>
      </c>
      <c r="O448" s="221">
        <v>10955362</v>
      </c>
      <c r="P448" s="221">
        <v>0</v>
      </c>
      <c r="Q448" s="221">
        <v>0</v>
      </c>
      <c r="R448" s="221">
        <v>0</v>
      </c>
      <c r="S448" s="221">
        <f t="shared" si="188"/>
        <v>10955362</v>
      </c>
      <c r="T448" s="221">
        <f t="shared" si="187"/>
        <v>2757.5921264599274</v>
      </c>
      <c r="U448" s="221">
        <v>2809.47</v>
      </c>
      <c r="V448" s="27">
        <f t="shared" si="169"/>
        <v>0</v>
      </c>
    </row>
    <row r="449" spans="1:22" ht="35.25" x14ac:dyDescent="0.5">
      <c r="B449" s="215" t="s">
        <v>689</v>
      </c>
      <c r="C449" s="215"/>
      <c r="D449" s="216" t="s">
        <v>422</v>
      </c>
      <c r="E449" s="216" t="s">
        <v>422</v>
      </c>
      <c r="F449" s="216" t="s">
        <v>422</v>
      </c>
      <c r="G449" s="216" t="s">
        <v>422</v>
      </c>
      <c r="H449" s="216" t="s">
        <v>422</v>
      </c>
      <c r="I449" s="217">
        <f>I450+I451</f>
        <v>769</v>
      </c>
      <c r="J449" s="217">
        <f t="shared" ref="J449:K449" si="189">J450+J451</f>
        <v>709.1</v>
      </c>
      <c r="K449" s="218">
        <f t="shared" si="189"/>
        <v>28</v>
      </c>
      <c r="L449" s="216" t="s">
        <v>422</v>
      </c>
      <c r="M449" s="216" t="s">
        <v>422</v>
      </c>
      <c r="N449" s="219" t="s">
        <v>422</v>
      </c>
      <c r="O449" s="221">
        <f>O450+O451</f>
        <v>14357909.359999999</v>
      </c>
      <c r="P449" s="221">
        <f t="shared" ref="P449:S449" si="190">P450+P451</f>
        <v>0</v>
      </c>
      <c r="Q449" s="221">
        <f t="shared" si="190"/>
        <v>0</v>
      </c>
      <c r="R449" s="221">
        <f t="shared" si="190"/>
        <v>0</v>
      </c>
      <c r="S449" s="221">
        <f t="shared" si="190"/>
        <v>14357909.359999999</v>
      </c>
      <c r="T449" s="221">
        <f t="shared" si="187"/>
        <v>18670.883433029907</v>
      </c>
      <c r="U449" s="221">
        <f>MAX(U450:U451)</f>
        <v>24957.11</v>
      </c>
      <c r="V449" s="27">
        <f t="shared" si="169"/>
        <v>0</v>
      </c>
    </row>
    <row r="450" spans="1:22" ht="35.25" x14ac:dyDescent="0.5">
      <c r="A450">
        <v>1</v>
      </c>
      <c r="B450" s="223">
        <f>SUBTOTAL(9,$A$367:A450)</f>
        <v>75</v>
      </c>
      <c r="C450" s="225" t="s">
        <v>180</v>
      </c>
      <c r="D450" s="216"/>
      <c r="E450" s="216">
        <v>1965</v>
      </c>
      <c r="F450" s="216" t="s">
        <v>419</v>
      </c>
      <c r="G450" s="216">
        <v>2</v>
      </c>
      <c r="H450" s="216" t="s">
        <v>319</v>
      </c>
      <c r="I450" s="217">
        <v>251.8</v>
      </c>
      <c r="J450" s="217">
        <v>251.8</v>
      </c>
      <c r="K450" s="218">
        <v>8</v>
      </c>
      <c r="L450" s="216" t="s">
        <v>417</v>
      </c>
      <c r="M450" s="216" t="s">
        <v>424</v>
      </c>
      <c r="N450" s="219" t="s">
        <v>425</v>
      </c>
      <c r="O450" s="221">
        <v>6284201</v>
      </c>
      <c r="P450" s="221">
        <v>0</v>
      </c>
      <c r="Q450" s="221">
        <v>0</v>
      </c>
      <c r="R450" s="221">
        <v>0</v>
      </c>
      <c r="S450" s="221">
        <f t="shared" si="188"/>
        <v>6284201</v>
      </c>
      <c r="T450" s="221">
        <f t="shared" si="187"/>
        <v>24957.112787926926</v>
      </c>
      <c r="U450" s="221">
        <v>24957.11</v>
      </c>
      <c r="V450" s="27">
        <f t="shared" si="169"/>
        <v>0</v>
      </c>
    </row>
    <row r="451" spans="1:22" ht="35.25" x14ac:dyDescent="0.5">
      <c r="A451">
        <v>1</v>
      </c>
      <c r="B451" s="223">
        <f>SUBTOTAL(9,$A$367:A451)</f>
        <v>76</v>
      </c>
      <c r="C451" s="225" t="s">
        <v>381</v>
      </c>
      <c r="D451" s="216"/>
      <c r="E451" s="216">
        <v>1970</v>
      </c>
      <c r="F451" s="216" t="s">
        <v>419</v>
      </c>
      <c r="G451" s="216">
        <v>2</v>
      </c>
      <c r="H451" s="216" t="s">
        <v>319</v>
      </c>
      <c r="I451" s="217">
        <v>517.20000000000005</v>
      </c>
      <c r="J451" s="217">
        <v>457.3</v>
      </c>
      <c r="K451" s="218">
        <v>20</v>
      </c>
      <c r="L451" s="216" t="s">
        <v>417</v>
      </c>
      <c r="M451" s="216" t="s">
        <v>424</v>
      </c>
      <c r="N451" s="219" t="s">
        <v>425</v>
      </c>
      <c r="O451" s="221">
        <v>8073708.3599999994</v>
      </c>
      <c r="P451" s="221">
        <v>0</v>
      </c>
      <c r="Q451" s="221">
        <v>0</v>
      </c>
      <c r="R451" s="221">
        <v>0</v>
      </c>
      <c r="S451" s="221">
        <f>O451-P451-Q451-R451</f>
        <v>8073708.3599999994</v>
      </c>
      <c r="T451" s="221">
        <f>O451/I451</f>
        <v>15610.418329466354</v>
      </c>
      <c r="U451" s="221">
        <v>16663.439999999999</v>
      </c>
      <c r="V451" s="27">
        <f t="shared" si="169"/>
        <v>0</v>
      </c>
    </row>
    <row r="452" spans="1:22" ht="35.25" x14ac:dyDescent="0.5">
      <c r="B452" s="215" t="s">
        <v>686</v>
      </c>
      <c r="C452" s="215"/>
      <c r="D452" s="216" t="s">
        <v>422</v>
      </c>
      <c r="E452" s="216" t="s">
        <v>422</v>
      </c>
      <c r="F452" s="216" t="s">
        <v>422</v>
      </c>
      <c r="G452" s="216" t="s">
        <v>422</v>
      </c>
      <c r="H452" s="216" t="s">
        <v>422</v>
      </c>
      <c r="I452" s="217">
        <f>I453</f>
        <v>521.6</v>
      </c>
      <c r="J452" s="217">
        <f t="shared" ref="J452:K452" si="191">J453</f>
        <v>520.4</v>
      </c>
      <c r="K452" s="218">
        <f t="shared" si="191"/>
        <v>21</v>
      </c>
      <c r="L452" s="216" t="s">
        <v>422</v>
      </c>
      <c r="M452" s="216" t="s">
        <v>422</v>
      </c>
      <c r="N452" s="219" t="s">
        <v>422</v>
      </c>
      <c r="O452" s="221">
        <v>7616706</v>
      </c>
      <c r="P452" s="221">
        <f t="shared" ref="P452:S452" si="192">P453</f>
        <v>0</v>
      </c>
      <c r="Q452" s="221">
        <f t="shared" si="192"/>
        <v>0</v>
      </c>
      <c r="R452" s="221">
        <f t="shared" si="192"/>
        <v>0</v>
      </c>
      <c r="S452" s="221">
        <f t="shared" si="192"/>
        <v>7616706</v>
      </c>
      <c r="T452" s="221">
        <f t="shared" si="187"/>
        <v>14602.580521472391</v>
      </c>
      <c r="U452" s="221">
        <f>U453</f>
        <v>14877.32</v>
      </c>
      <c r="V452" s="27">
        <f t="shared" si="169"/>
        <v>0</v>
      </c>
    </row>
    <row r="453" spans="1:22" ht="35.25" x14ac:dyDescent="0.5">
      <c r="A453">
        <v>1</v>
      </c>
      <c r="B453" s="223">
        <f>SUBTOTAL(9,$A$367:A453)</f>
        <v>77</v>
      </c>
      <c r="C453" s="225" t="s">
        <v>181</v>
      </c>
      <c r="D453" s="216"/>
      <c r="E453" s="216">
        <v>1973</v>
      </c>
      <c r="F453" s="216" t="s">
        <v>419</v>
      </c>
      <c r="G453" s="216">
        <v>2</v>
      </c>
      <c r="H453" s="216" t="s">
        <v>319</v>
      </c>
      <c r="I453" s="217">
        <v>521.6</v>
      </c>
      <c r="J453" s="217">
        <v>520.4</v>
      </c>
      <c r="K453" s="218">
        <v>21</v>
      </c>
      <c r="L453" s="216" t="s">
        <v>417</v>
      </c>
      <c r="M453" s="216" t="s">
        <v>423</v>
      </c>
      <c r="N453" s="219" t="s">
        <v>445</v>
      </c>
      <c r="O453" s="221">
        <v>7616706</v>
      </c>
      <c r="P453" s="221">
        <v>0</v>
      </c>
      <c r="Q453" s="221">
        <v>0</v>
      </c>
      <c r="R453" s="221">
        <v>0</v>
      </c>
      <c r="S453" s="221">
        <f t="shared" si="188"/>
        <v>7616706</v>
      </c>
      <c r="T453" s="221">
        <f t="shared" si="187"/>
        <v>14602.580521472391</v>
      </c>
      <c r="U453" s="221">
        <v>14877.32</v>
      </c>
      <c r="V453" s="27">
        <f t="shared" si="169"/>
        <v>0</v>
      </c>
    </row>
    <row r="454" spans="1:22" ht="35.25" x14ac:dyDescent="0.5">
      <c r="B454" s="215" t="s">
        <v>691</v>
      </c>
      <c r="C454" s="215"/>
      <c r="D454" s="216" t="s">
        <v>422</v>
      </c>
      <c r="E454" s="216" t="s">
        <v>422</v>
      </c>
      <c r="F454" s="216" t="s">
        <v>422</v>
      </c>
      <c r="G454" s="216" t="s">
        <v>422</v>
      </c>
      <c r="H454" s="216" t="s">
        <v>422</v>
      </c>
      <c r="I454" s="217">
        <f>SUM(I455:I461)</f>
        <v>12710.05</v>
      </c>
      <c r="J454" s="217">
        <f t="shared" ref="J454:K454" si="193">SUM(J455:J461)</f>
        <v>8580.39</v>
      </c>
      <c r="K454" s="218">
        <f t="shared" si="193"/>
        <v>519</v>
      </c>
      <c r="L454" s="216" t="s">
        <v>422</v>
      </c>
      <c r="M454" s="216" t="s">
        <v>422</v>
      </c>
      <c r="N454" s="219" t="s">
        <v>422</v>
      </c>
      <c r="O454" s="220">
        <f>SUM(O455:O461)</f>
        <v>59404379.280000001</v>
      </c>
      <c r="P454" s="220">
        <f t="shared" ref="P454:S454" si="194">SUM(P455:P461)</f>
        <v>0</v>
      </c>
      <c r="Q454" s="220">
        <f t="shared" si="194"/>
        <v>0</v>
      </c>
      <c r="R454" s="220">
        <f t="shared" si="194"/>
        <v>0</v>
      </c>
      <c r="S454" s="220">
        <f t="shared" si="194"/>
        <v>59404379.280000001</v>
      </c>
      <c r="T454" s="221">
        <f t="shared" ref="T454:T488" si="195">O454/I454</f>
        <v>4673.8116120707637</v>
      </c>
      <c r="U454" s="221">
        <f>MAX(U455:U461)</f>
        <v>16719.325099250113</v>
      </c>
      <c r="V454" s="27">
        <f t="shared" si="169"/>
        <v>0</v>
      </c>
    </row>
    <row r="455" spans="1:22" ht="35.25" x14ac:dyDescent="0.5">
      <c r="A455">
        <v>1</v>
      </c>
      <c r="B455" s="223">
        <f>SUBTOTAL(9,$A$367:A455)</f>
        <v>78</v>
      </c>
      <c r="C455" s="225" t="s">
        <v>191</v>
      </c>
      <c r="D455" s="216"/>
      <c r="E455" s="216">
        <v>1987</v>
      </c>
      <c r="F455" s="216" t="s">
        <v>419</v>
      </c>
      <c r="G455" s="216">
        <v>5</v>
      </c>
      <c r="H455" s="216" t="s">
        <v>317</v>
      </c>
      <c r="I455" s="217">
        <v>3451.53</v>
      </c>
      <c r="J455" s="217">
        <v>2326.9299999999998</v>
      </c>
      <c r="K455" s="218">
        <v>179</v>
      </c>
      <c r="L455" s="216" t="s">
        <v>417</v>
      </c>
      <c r="M455" s="216" t="s">
        <v>423</v>
      </c>
      <c r="N455" s="219" t="s">
        <v>446</v>
      </c>
      <c r="O455" s="221">
        <v>11856672.34</v>
      </c>
      <c r="P455" s="221">
        <v>0</v>
      </c>
      <c r="Q455" s="221">
        <v>0</v>
      </c>
      <c r="R455" s="221">
        <v>0</v>
      </c>
      <c r="S455" s="221">
        <f t="shared" ref="S455:S488" si="196">O455-P455-Q455-R455</f>
        <v>11856672.34</v>
      </c>
      <c r="T455" s="221">
        <f t="shared" si="195"/>
        <v>3435.1931867896265</v>
      </c>
      <c r="U455" s="221">
        <v>3499.82</v>
      </c>
      <c r="V455" s="27">
        <f t="shared" si="169"/>
        <v>0</v>
      </c>
    </row>
    <row r="456" spans="1:22" ht="35.25" x14ac:dyDescent="0.5">
      <c r="A456">
        <v>1</v>
      </c>
      <c r="B456" s="223">
        <f>SUBTOTAL(9,$A$367:A456)</f>
        <v>79</v>
      </c>
      <c r="C456" s="225" t="s">
        <v>192</v>
      </c>
      <c r="D456" s="216"/>
      <c r="E456" s="216">
        <v>1973</v>
      </c>
      <c r="F456" s="216" t="s">
        <v>420</v>
      </c>
      <c r="G456" s="216">
        <v>5</v>
      </c>
      <c r="H456" s="216" t="s">
        <v>321</v>
      </c>
      <c r="I456" s="217">
        <v>4001.63</v>
      </c>
      <c r="J456" s="217">
        <v>3060.66</v>
      </c>
      <c r="K456" s="218">
        <v>156</v>
      </c>
      <c r="L456" s="216" t="s">
        <v>417</v>
      </c>
      <c r="M456" s="216" t="s">
        <v>423</v>
      </c>
      <c r="N456" s="219" t="s">
        <v>446</v>
      </c>
      <c r="O456" s="221">
        <v>10037572.939999999</v>
      </c>
      <c r="P456" s="221">
        <v>0</v>
      </c>
      <c r="Q456" s="221">
        <v>0</v>
      </c>
      <c r="R456" s="221">
        <v>0</v>
      </c>
      <c r="S456" s="221">
        <f t="shared" si="196"/>
        <v>10037572.939999999</v>
      </c>
      <c r="T456" s="221">
        <f t="shared" si="195"/>
        <v>2508.3710737874312</v>
      </c>
      <c r="U456" s="221">
        <v>2508.37</v>
      </c>
      <c r="V456" s="27">
        <f t="shared" si="169"/>
        <v>0</v>
      </c>
    </row>
    <row r="457" spans="1:22" ht="35.25" x14ac:dyDescent="0.5">
      <c r="A457">
        <v>1</v>
      </c>
      <c r="B457" s="223">
        <f>SUBTOTAL(9,$A$367:A457)</f>
        <v>80</v>
      </c>
      <c r="C457" s="225" t="s">
        <v>193</v>
      </c>
      <c r="D457" s="216"/>
      <c r="E457" s="216">
        <v>1981</v>
      </c>
      <c r="F457" s="216" t="s">
        <v>419</v>
      </c>
      <c r="G457" s="216">
        <v>2</v>
      </c>
      <c r="H457" s="216" t="s">
        <v>319</v>
      </c>
      <c r="I457" s="217">
        <v>844.4</v>
      </c>
      <c r="J457" s="217">
        <v>487.2</v>
      </c>
      <c r="K457" s="218">
        <v>43</v>
      </c>
      <c r="L457" s="216" t="s">
        <v>417</v>
      </c>
      <c r="M457" s="216" t="s">
        <v>423</v>
      </c>
      <c r="N457" s="219" t="s">
        <v>447</v>
      </c>
      <c r="O457" s="221">
        <v>10663388.060000001</v>
      </c>
      <c r="P457" s="221">
        <v>0</v>
      </c>
      <c r="Q457" s="221">
        <v>0</v>
      </c>
      <c r="R457" s="221">
        <v>0</v>
      </c>
      <c r="S457" s="221">
        <f t="shared" si="196"/>
        <v>10663388.060000001</v>
      </c>
      <c r="T457" s="221">
        <f t="shared" si="195"/>
        <v>12628.361037423023</v>
      </c>
      <c r="U457" s="221">
        <v>12865.96</v>
      </c>
      <c r="V457" s="27">
        <f t="shared" si="169"/>
        <v>0</v>
      </c>
    </row>
    <row r="458" spans="1:22" ht="35.25" x14ac:dyDescent="0.5">
      <c r="A458">
        <v>1</v>
      </c>
      <c r="B458" s="223">
        <f>SUBTOTAL(9,$A$367:A458)</f>
        <v>81</v>
      </c>
      <c r="C458" s="225" t="s">
        <v>194</v>
      </c>
      <c r="D458" s="216"/>
      <c r="E458" s="216">
        <v>1976</v>
      </c>
      <c r="F458" s="216" t="s">
        <v>420</v>
      </c>
      <c r="G458" s="216">
        <v>5</v>
      </c>
      <c r="H458" s="216" t="s">
        <v>321</v>
      </c>
      <c r="I458" s="217">
        <v>3250</v>
      </c>
      <c r="J458" s="217">
        <v>1740.1</v>
      </c>
      <c r="K458" s="218">
        <v>90</v>
      </c>
      <c r="L458" s="216" t="s">
        <v>417</v>
      </c>
      <c r="M458" s="216" t="s">
        <v>426</v>
      </c>
      <c r="N458" s="219" t="s">
        <v>448</v>
      </c>
      <c r="O458" s="221">
        <v>11332135.190000001</v>
      </c>
      <c r="P458" s="221">
        <v>0</v>
      </c>
      <c r="Q458" s="221">
        <v>0</v>
      </c>
      <c r="R458" s="221">
        <v>0</v>
      </c>
      <c r="S458" s="221">
        <f t="shared" si="196"/>
        <v>11332135.190000001</v>
      </c>
      <c r="T458" s="221">
        <f t="shared" si="195"/>
        <v>3486.8108276923081</v>
      </c>
      <c r="U458" s="221">
        <v>3552.41</v>
      </c>
      <c r="V458" s="27">
        <f t="shared" si="169"/>
        <v>0</v>
      </c>
    </row>
    <row r="459" spans="1:22" ht="35.25" x14ac:dyDescent="0.5">
      <c r="A459">
        <v>1</v>
      </c>
      <c r="B459" s="223">
        <f>SUBTOTAL(9,$A$367:A459)</f>
        <v>82</v>
      </c>
      <c r="C459" s="225" t="s">
        <v>195</v>
      </c>
      <c r="D459" s="216"/>
      <c r="E459" s="216">
        <v>1995</v>
      </c>
      <c r="F459" s="216" t="s">
        <v>419</v>
      </c>
      <c r="G459" s="216">
        <v>2</v>
      </c>
      <c r="H459" s="216" t="s">
        <v>317</v>
      </c>
      <c r="I459" s="217">
        <v>337.99</v>
      </c>
      <c r="J459" s="217">
        <v>185.6</v>
      </c>
      <c r="K459" s="218">
        <v>11</v>
      </c>
      <c r="L459" s="216" t="s">
        <v>417</v>
      </c>
      <c r="M459" s="216" t="s">
        <v>423</v>
      </c>
      <c r="N459" s="219" t="s">
        <v>447</v>
      </c>
      <c r="O459" s="221">
        <v>3744880.45</v>
      </c>
      <c r="P459" s="221">
        <v>0</v>
      </c>
      <c r="Q459" s="221">
        <v>0</v>
      </c>
      <c r="R459" s="221">
        <v>0</v>
      </c>
      <c r="S459" s="221">
        <f t="shared" si="196"/>
        <v>3744880.45</v>
      </c>
      <c r="T459" s="221">
        <f t="shared" si="195"/>
        <v>11079.85576496346</v>
      </c>
      <c r="U459" s="221">
        <v>11288.32</v>
      </c>
      <c r="V459" s="27">
        <f t="shared" si="169"/>
        <v>0</v>
      </c>
    </row>
    <row r="460" spans="1:22" ht="35.25" x14ac:dyDescent="0.5">
      <c r="A460">
        <v>1</v>
      </c>
      <c r="B460" s="223">
        <f>SUBTOTAL(9,$A$367:A460)</f>
        <v>83</v>
      </c>
      <c r="C460" s="225" t="s">
        <v>196</v>
      </c>
      <c r="D460" s="216"/>
      <c r="E460" s="216">
        <v>1980</v>
      </c>
      <c r="F460" s="216" t="s">
        <v>419</v>
      </c>
      <c r="G460" s="216">
        <v>2</v>
      </c>
      <c r="H460" s="216" t="s">
        <v>317</v>
      </c>
      <c r="I460" s="217">
        <v>371.1</v>
      </c>
      <c r="J460" s="217">
        <v>371.1</v>
      </c>
      <c r="K460" s="218">
        <v>19</v>
      </c>
      <c r="L460" s="216" t="s">
        <v>417</v>
      </c>
      <c r="M460" s="216" t="s">
        <v>424</v>
      </c>
      <c r="N460" s="219" t="s">
        <v>425</v>
      </c>
      <c r="O460" s="221">
        <v>4189188.3</v>
      </c>
      <c r="P460" s="221">
        <v>0</v>
      </c>
      <c r="Q460" s="221">
        <v>0</v>
      </c>
      <c r="R460" s="221">
        <v>0</v>
      </c>
      <c r="S460" s="221">
        <f t="shared" si="196"/>
        <v>4189188.3</v>
      </c>
      <c r="T460" s="221">
        <f t="shared" si="195"/>
        <v>11288.56992724333</v>
      </c>
      <c r="U460" s="221">
        <v>11500.96</v>
      </c>
      <c r="V460" s="27">
        <f t="shared" si="169"/>
        <v>0</v>
      </c>
    </row>
    <row r="461" spans="1:22" ht="35.25" x14ac:dyDescent="0.5">
      <c r="A461">
        <v>1</v>
      </c>
      <c r="B461" s="223">
        <f>SUBTOTAL(9,$A$367:A461)</f>
        <v>84</v>
      </c>
      <c r="C461" s="225" t="s">
        <v>197</v>
      </c>
      <c r="D461" s="216"/>
      <c r="E461" s="216">
        <v>1952</v>
      </c>
      <c r="F461" s="216" t="s">
        <v>419</v>
      </c>
      <c r="G461" s="216">
        <v>2</v>
      </c>
      <c r="H461" s="216" t="s">
        <v>319</v>
      </c>
      <c r="I461" s="217">
        <v>453.4</v>
      </c>
      <c r="J461" s="217">
        <v>408.8</v>
      </c>
      <c r="K461" s="218">
        <v>21</v>
      </c>
      <c r="L461" s="216" t="s">
        <v>417</v>
      </c>
      <c r="M461" s="216" t="s">
        <v>424</v>
      </c>
      <c r="N461" s="219" t="s">
        <v>425</v>
      </c>
      <c r="O461" s="221">
        <v>7580542</v>
      </c>
      <c r="P461" s="221">
        <v>0</v>
      </c>
      <c r="Q461" s="221">
        <v>0</v>
      </c>
      <c r="R461" s="221">
        <v>0</v>
      </c>
      <c r="S461" s="221">
        <f t="shared" si="196"/>
        <v>7580542</v>
      </c>
      <c r="T461" s="221">
        <f t="shared" si="195"/>
        <v>16719.325099250113</v>
      </c>
      <c r="U461" s="221">
        <v>16719.325099250113</v>
      </c>
      <c r="V461" s="27">
        <f t="shared" si="169"/>
        <v>0</v>
      </c>
    </row>
    <row r="462" spans="1:22" ht="35.25" x14ac:dyDescent="0.5">
      <c r="B462" s="215" t="s">
        <v>696</v>
      </c>
      <c r="C462" s="215"/>
      <c r="D462" s="216" t="s">
        <v>422</v>
      </c>
      <c r="E462" s="216" t="s">
        <v>422</v>
      </c>
      <c r="F462" s="216" t="s">
        <v>422</v>
      </c>
      <c r="G462" s="216" t="s">
        <v>422</v>
      </c>
      <c r="H462" s="216" t="s">
        <v>422</v>
      </c>
      <c r="I462" s="217">
        <f>SUM(I463:I465)</f>
        <v>2474.1</v>
      </c>
      <c r="J462" s="217">
        <f t="shared" ref="J462:K462" si="197">SUM(J463:J465)</f>
        <v>2213.6</v>
      </c>
      <c r="K462" s="218">
        <f t="shared" si="197"/>
        <v>44</v>
      </c>
      <c r="L462" s="216" t="s">
        <v>422</v>
      </c>
      <c r="M462" s="216" t="s">
        <v>422</v>
      </c>
      <c r="N462" s="219" t="s">
        <v>422</v>
      </c>
      <c r="O462" s="220">
        <f>SUM(O463:O465)</f>
        <v>27229723.949999999</v>
      </c>
      <c r="P462" s="220">
        <f t="shared" ref="P462:S462" si="198">SUM(P463:P465)</f>
        <v>0</v>
      </c>
      <c r="Q462" s="220">
        <f t="shared" si="198"/>
        <v>0</v>
      </c>
      <c r="R462" s="220">
        <f t="shared" si="198"/>
        <v>0</v>
      </c>
      <c r="S462" s="220">
        <f t="shared" si="198"/>
        <v>27229723.949999999</v>
      </c>
      <c r="T462" s="221">
        <f t="shared" si="195"/>
        <v>11005.910816054324</v>
      </c>
      <c r="U462" s="221">
        <f>MAX(U463:U465)</f>
        <v>12246.2</v>
      </c>
      <c r="V462" s="27">
        <f t="shared" ref="V462:V525" si="199">O462-P462-Q462-R462-S462</f>
        <v>0</v>
      </c>
    </row>
    <row r="463" spans="1:22" ht="35.25" x14ac:dyDescent="0.5">
      <c r="A463">
        <v>1</v>
      </c>
      <c r="B463" s="223">
        <f>SUBTOTAL(9,$A$367:A463)</f>
        <v>85</v>
      </c>
      <c r="C463" s="225" t="s">
        <v>204</v>
      </c>
      <c r="D463" s="216"/>
      <c r="E463" s="216">
        <v>1974</v>
      </c>
      <c r="F463" s="216" t="s">
        <v>419</v>
      </c>
      <c r="G463" s="216">
        <v>2</v>
      </c>
      <c r="H463" s="216" t="s">
        <v>317</v>
      </c>
      <c r="I463" s="217">
        <v>380.2</v>
      </c>
      <c r="J463" s="217">
        <v>358.3</v>
      </c>
      <c r="K463" s="218">
        <v>8</v>
      </c>
      <c r="L463" s="216" t="s">
        <v>417</v>
      </c>
      <c r="M463" s="216" t="s">
        <v>423</v>
      </c>
      <c r="N463" s="219" t="s">
        <v>449</v>
      </c>
      <c r="O463" s="221">
        <v>4570023.5999999996</v>
      </c>
      <c r="P463" s="221">
        <v>0</v>
      </c>
      <c r="Q463" s="221">
        <v>0</v>
      </c>
      <c r="R463" s="221">
        <v>0</v>
      </c>
      <c r="S463" s="221">
        <f t="shared" si="196"/>
        <v>4570023.5999999996</v>
      </c>
      <c r="T463" s="221">
        <f t="shared" si="195"/>
        <v>12020.051551814833</v>
      </c>
      <c r="U463" s="221">
        <v>12246.2</v>
      </c>
      <c r="V463" s="27">
        <f t="shared" si="199"/>
        <v>0</v>
      </c>
    </row>
    <row r="464" spans="1:22" ht="35.25" x14ac:dyDescent="0.5">
      <c r="A464">
        <v>1</v>
      </c>
      <c r="B464" s="223">
        <f>SUBTOTAL(9,$A$367:A464)</f>
        <v>86</v>
      </c>
      <c r="C464" s="225" t="s">
        <v>205</v>
      </c>
      <c r="D464" s="216"/>
      <c r="E464" s="216">
        <v>1978</v>
      </c>
      <c r="F464" s="216" t="s">
        <v>419</v>
      </c>
      <c r="G464" s="216">
        <v>2</v>
      </c>
      <c r="H464" s="216" t="s">
        <v>326</v>
      </c>
      <c r="I464" s="217">
        <v>1072</v>
      </c>
      <c r="J464" s="217">
        <v>975.5</v>
      </c>
      <c r="K464" s="218">
        <v>18</v>
      </c>
      <c r="L464" s="216" t="s">
        <v>417</v>
      </c>
      <c r="M464" s="216" t="s">
        <v>424</v>
      </c>
      <c r="N464" s="219" t="s">
        <v>425</v>
      </c>
      <c r="O464" s="221">
        <v>11209252.33</v>
      </c>
      <c r="P464" s="221">
        <v>0</v>
      </c>
      <c r="Q464" s="221">
        <v>0</v>
      </c>
      <c r="R464" s="221">
        <v>0</v>
      </c>
      <c r="S464" s="221">
        <f t="shared" si="196"/>
        <v>11209252.33</v>
      </c>
      <c r="T464" s="221">
        <f t="shared" si="195"/>
        <v>10456.392098880597</v>
      </c>
      <c r="U464" s="221">
        <v>10653.12</v>
      </c>
      <c r="V464" s="27">
        <f t="shared" si="199"/>
        <v>0</v>
      </c>
    </row>
    <row r="465" spans="1:22" ht="35.25" x14ac:dyDescent="0.5">
      <c r="A465">
        <v>1</v>
      </c>
      <c r="B465" s="223">
        <f>SUBTOTAL(9,$A$367:A465)</f>
        <v>87</v>
      </c>
      <c r="C465" s="225" t="s">
        <v>206</v>
      </c>
      <c r="D465" s="216"/>
      <c r="E465" s="216">
        <v>1978</v>
      </c>
      <c r="F465" s="216" t="s">
        <v>419</v>
      </c>
      <c r="G465" s="216">
        <v>2</v>
      </c>
      <c r="H465" s="216" t="s">
        <v>326</v>
      </c>
      <c r="I465" s="217">
        <v>1021.9</v>
      </c>
      <c r="J465" s="217">
        <v>879.8</v>
      </c>
      <c r="K465" s="218">
        <v>18</v>
      </c>
      <c r="L465" s="216" t="s">
        <v>417</v>
      </c>
      <c r="M465" s="216" t="s">
        <v>423</v>
      </c>
      <c r="N465" s="219" t="s">
        <v>433</v>
      </c>
      <c r="O465" s="221">
        <v>11450448.02</v>
      </c>
      <c r="P465" s="221">
        <v>0</v>
      </c>
      <c r="Q465" s="221">
        <v>0</v>
      </c>
      <c r="R465" s="221">
        <v>0</v>
      </c>
      <c r="S465" s="221">
        <f t="shared" si="196"/>
        <v>11450448.02</v>
      </c>
      <c r="T465" s="221">
        <f t="shared" si="195"/>
        <v>11205.057265877287</v>
      </c>
      <c r="U465" s="221">
        <v>11415.87</v>
      </c>
      <c r="V465" s="27">
        <f t="shared" si="199"/>
        <v>0</v>
      </c>
    </row>
    <row r="466" spans="1:22" ht="35.25" x14ac:dyDescent="0.5">
      <c r="B466" s="215" t="s">
        <v>667</v>
      </c>
      <c r="C466" s="215"/>
      <c r="D466" s="216" t="s">
        <v>422</v>
      </c>
      <c r="E466" s="216" t="s">
        <v>422</v>
      </c>
      <c r="F466" s="216" t="s">
        <v>422</v>
      </c>
      <c r="G466" s="216" t="s">
        <v>422</v>
      </c>
      <c r="H466" s="216" t="s">
        <v>422</v>
      </c>
      <c r="I466" s="217">
        <f>SUM(I467:I474)</f>
        <v>5222.5999999999995</v>
      </c>
      <c r="J466" s="217">
        <f t="shared" ref="J466:K466" si="200">SUM(J467:J474)</f>
        <v>3948.8</v>
      </c>
      <c r="K466" s="218">
        <f t="shared" si="200"/>
        <v>191</v>
      </c>
      <c r="L466" s="216" t="s">
        <v>422</v>
      </c>
      <c r="M466" s="216" t="s">
        <v>422</v>
      </c>
      <c r="N466" s="219" t="s">
        <v>422</v>
      </c>
      <c r="O466" s="221">
        <f>SUM(O467:O474)</f>
        <v>54164763.110000007</v>
      </c>
      <c r="P466" s="221">
        <f t="shared" ref="P466:S466" si="201">SUM(P467:P474)</f>
        <v>0</v>
      </c>
      <c r="Q466" s="221">
        <f t="shared" si="201"/>
        <v>0</v>
      </c>
      <c r="R466" s="221">
        <f t="shared" si="201"/>
        <v>0</v>
      </c>
      <c r="S466" s="221">
        <f t="shared" si="201"/>
        <v>54164763.110000007</v>
      </c>
      <c r="T466" s="221">
        <f t="shared" si="195"/>
        <v>10371.225655803624</v>
      </c>
      <c r="U466" s="221">
        <f>MAX(U467:U474)</f>
        <v>17899.27</v>
      </c>
      <c r="V466" s="27">
        <f t="shared" si="199"/>
        <v>0</v>
      </c>
    </row>
    <row r="467" spans="1:22" ht="35.25" x14ac:dyDescent="0.5">
      <c r="A467">
        <v>1</v>
      </c>
      <c r="B467" s="223">
        <f>SUBTOTAL(9,$A$367:A467)</f>
        <v>88</v>
      </c>
      <c r="C467" s="225" t="s">
        <v>212</v>
      </c>
      <c r="D467" s="216"/>
      <c r="E467" s="216">
        <v>1962</v>
      </c>
      <c r="F467" s="216" t="s">
        <v>419</v>
      </c>
      <c r="G467" s="216">
        <v>2</v>
      </c>
      <c r="H467" s="216" t="s">
        <v>317</v>
      </c>
      <c r="I467" s="217">
        <v>311</v>
      </c>
      <c r="J467" s="217">
        <v>288.7</v>
      </c>
      <c r="K467" s="218">
        <v>14</v>
      </c>
      <c r="L467" s="216" t="s">
        <v>417</v>
      </c>
      <c r="M467" s="216" t="s">
        <v>424</v>
      </c>
      <c r="N467" s="219" t="s">
        <v>425</v>
      </c>
      <c r="O467" s="221">
        <v>5386458</v>
      </c>
      <c r="P467" s="221">
        <v>0</v>
      </c>
      <c r="Q467" s="221">
        <v>0</v>
      </c>
      <c r="R467" s="221">
        <v>0</v>
      </c>
      <c r="S467" s="221">
        <f t="shared" si="196"/>
        <v>5386458</v>
      </c>
      <c r="T467" s="221">
        <f t="shared" si="195"/>
        <v>17319.800643086815</v>
      </c>
      <c r="U467" s="221">
        <v>17319.8</v>
      </c>
      <c r="V467" s="27">
        <f t="shared" si="199"/>
        <v>0</v>
      </c>
    </row>
    <row r="468" spans="1:22" ht="35.25" x14ac:dyDescent="0.5">
      <c r="A468">
        <v>1</v>
      </c>
      <c r="B468" s="223">
        <f>SUBTOTAL(9,$A$367:A468)</f>
        <v>89</v>
      </c>
      <c r="C468" s="225" t="s">
        <v>624</v>
      </c>
      <c r="D468" s="216"/>
      <c r="E468" s="216">
        <v>1964</v>
      </c>
      <c r="F468" s="216" t="s">
        <v>419</v>
      </c>
      <c r="G468" s="216">
        <v>2</v>
      </c>
      <c r="H468" s="216" t="s">
        <v>319</v>
      </c>
      <c r="I468" s="217">
        <v>383.3</v>
      </c>
      <c r="J468" s="217">
        <v>266.10000000000002</v>
      </c>
      <c r="K468" s="218">
        <v>15</v>
      </c>
      <c r="L468" s="216" t="s">
        <v>417</v>
      </c>
      <c r="M468" s="216" t="s">
        <v>423</v>
      </c>
      <c r="N468" s="219" t="s">
        <v>626</v>
      </c>
      <c r="O468" s="221">
        <v>5014331.45</v>
      </c>
      <c r="P468" s="221">
        <v>0</v>
      </c>
      <c r="Q468" s="221">
        <v>0</v>
      </c>
      <c r="R468" s="221">
        <v>0</v>
      </c>
      <c r="S468" s="221">
        <f t="shared" si="196"/>
        <v>5014331.45</v>
      </c>
      <c r="T468" s="221">
        <f t="shared" si="195"/>
        <v>13082.002217584139</v>
      </c>
      <c r="U468" s="221">
        <v>12573.65</v>
      </c>
      <c r="V468" s="27">
        <f t="shared" si="199"/>
        <v>0</v>
      </c>
    </row>
    <row r="469" spans="1:22" ht="35.25" x14ac:dyDescent="0.5">
      <c r="A469">
        <v>1</v>
      </c>
      <c r="B469" s="223">
        <f>SUBTOTAL(9,$A$367:A469)</f>
        <v>90</v>
      </c>
      <c r="C469" s="225" t="s">
        <v>214</v>
      </c>
      <c r="D469" s="216"/>
      <c r="E469" s="216">
        <v>1981</v>
      </c>
      <c r="F469" s="216" t="s">
        <v>420</v>
      </c>
      <c r="G469" s="216">
        <v>2</v>
      </c>
      <c r="H469" s="216" t="s">
        <v>326</v>
      </c>
      <c r="I469" s="217">
        <v>895</v>
      </c>
      <c r="J469" s="217">
        <v>508.2</v>
      </c>
      <c r="K469" s="218">
        <v>47</v>
      </c>
      <c r="L469" s="216" t="s">
        <v>417</v>
      </c>
      <c r="M469" s="216" t="s">
        <v>424</v>
      </c>
      <c r="N469" s="219" t="s">
        <v>425</v>
      </c>
      <c r="O469" s="221">
        <v>10460276.239999998</v>
      </c>
      <c r="P469" s="221">
        <v>0</v>
      </c>
      <c r="Q469" s="221">
        <v>0</v>
      </c>
      <c r="R469" s="221">
        <v>0</v>
      </c>
      <c r="S469" s="221">
        <f t="shared" si="196"/>
        <v>10460276.239999998</v>
      </c>
      <c r="T469" s="221">
        <f t="shared" si="195"/>
        <v>11687.459486033518</v>
      </c>
      <c r="U469" s="221">
        <v>11907.35</v>
      </c>
      <c r="V469" s="27">
        <f t="shared" si="199"/>
        <v>0</v>
      </c>
    </row>
    <row r="470" spans="1:22" ht="35.25" x14ac:dyDescent="0.5">
      <c r="A470">
        <v>1</v>
      </c>
      <c r="B470" s="223">
        <f>SUBTOTAL(9,$A$367:A470)</f>
        <v>91</v>
      </c>
      <c r="C470" s="225" t="s">
        <v>215</v>
      </c>
      <c r="D470" s="216"/>
      <c r="E470" s="216">
        <v>1965</v>
      </c>
      <c r="F470" s="216" t="s">
        <v>419</v>
      </c>
      <c r="G470" s="216">
        <v>2</v>
      </c>
      <c r="H470" s="216" t="s">
        <v>317</v>
      </c>
      <c r="I470" s="217">
        <v>323</v>
      </c>
      <c r="J470" s="217">
        <v>263</v>
      </c>
      <c r="K470" s="218">
        <v>9</v>
      </c>
      <c r="L470" s="216" t="s">
        <v>417</v>
      </c>
      <c r="M470" s="216" t="s">
        <v>424</v>
      </c>
      <c r="N470" s="219" t="s">
        <v>425</v>
      </c>
      <c r="O470" s="221">
        <v>5781464.9199999999</v>
      </c>
      <c r="P470" s="221">
        <v>0</v>
      </c>
      <c r="Q470" s="221">
        <v>0</v>
      </c>
      <c r="R470" s="221">
        <v>0</v>
      </c>
      <c r="S470" s="221">
        <f t="shared" si="196"/>
        <v>5781464.9199999999</v>
      </c>
      <c r="T470" s="221">
        <f t="shared" si="195"/>
        <v>17899.272198142415</v>
      </c>
      <c r="U470" s="221">
        <v>17899.27</v>
      </c>
      <c r="V470" s="27">
        <f t="shared" si="199"/>
        <v>0</v>
      </c>
    </row>
    <row r="471" spans="1:22" ht="35.25" x14ac:dyDescent="0.5">
      <c r="A471">
        <v>1</v>
      </c>
      <c r="B471" s="223">
        <f>SUBTOTAL(9,$A$367:A471)</f>
        <v>92</v>
      </c>
      <c r="C471" s="225" t="s">
        <v>669</v>
      </c>
      <c r="D471" s="216"/>
      <c r="E471" s="216">
        <v>1976</v>
      </c>
      <c r="F471" s="216" t="s">
        <v>419</v>
      </c>
      <c r="G471" s="216">
        <v>2</v>
      </c>
      <c r="H471" s="216">
        <v>2</v>
      </c>
      <c r="I471" s="217">
        <v>923.6</v>
      </c>
      <c r="J471" s="217">
        <v>839.9</v>
      </c>
      <c r="K471" s="218">
        <v>22</v>
      </c>
      <c r="L471" s="216" t="s">
        <v>417</v>
      </c>
      <c r="M471" s="216" t="s">
        <v>424</v>
      </c>
      <c r="N471" s="219" t="s">
        <v>425</v>
      </c>
      <c r="O471" s="221">
        <v>7010026.4500000002</v>
      </c>
      <c r="P471" s="221">
        <v>0</v>
      </c>
      <c r="Q471" s="221">
        <v>0</v>
      </c>
      <c r="R471" s="221">
        <v>0</v>
      </c>
      <c r="S471" s="221">
        <f t="shared" ref="S471:S474" si="202">O471-P471-Q471-R471</f>
        <v>7010026.4500000002</v>
      </c>
      <c r="T471" s="221">
        <f t="shared" si="195"/>
        <v>7589.894380684279</v>
      </c>
      <c r="U471" s="221">
        <v>11545.46</v>
      </c>
      <c r="V471" s="27">
        <f t="shared" si="199"/>
        <v>0</v>
      </c>
    </row>
    <row r="472" spans="1:22" ht="35.25" x14ac:dyDescent="0.5">
      <c r="A472">
        <v>1</v>
      </c>
      <c r="B472" s="223">
        <f>SUBTOTAL(9,$A$367:A472)</f>
        <v>93</v>
      </c>
      <c r="C472" s="225" t="s">
        <v>670</v>
      </c>
      <c r="D472" s="216"/>
      <c r="E472" s="216">
        <v>1989</v>
      </c>
      <c r="F472" s="216" t="s">
        <v>419</v>
      </c>
      <c r="G472" s="216">
        <v>2</v>
      </c>
      <c r="H472" s="216">
        <v>2</v>
      </c>
      <c r="I472" s="217">
        <v>973</v>
      </c>
      <c r="J472" s="217">
        <v>973</v>
      </c>
      <c r="K472" s="218">
        <v>23</v>
      </c>
      <c r="L472" s="216" t="s">
        <v>417</v>
      </c>
      <c r="M472" s="216" t="s">
        <v>424</v>
      </c>
      <c r="N472" s="219" t="s">
        <v>425</v>
      </c>
      <c r="O472" s="221">
        <v>8582586.25</v>
      </c>
      <c r="P472" s="221">
        <v>0</v>
      </c>
      <c r="Q472" s="221">
        <v>0</v>
      </c>
      <c r="R472" s="221">
        <v>0</v>
      </c>
      <c r="S472" s="221">
        <f t="shared" si="202"/>
        <v>8582586.25</v>
      </c>
      <c r="T472" s="221">
        <f t="shared" si="195"/>
        <v>8820.7464028776976</v>
      </c>
      <c r="U472" s="221">
        <v>11201.03</v>
      </c>
      <c r="V472" s="27">
        <f t="shared" si="199"/>
        <v>0</v>
      </c>
    </row>
    <row r="473" spans="1:22" ht="33" customHeight="1" x14ac:dyDescent="0.5">
      <c r="A473">
        <v>1</v>
      </c>
      <c r="B473" s="223">
        <f>SUBTOTAL(9,$A$367:A473)</f>
        <v>94</v>
      </c>
      <c r="C473" s="225" t="s">
        <v>671</v>
      </c>
      <c r="D473" s="216"/>
      <c r="E473" s="216">
        <v>1983</v>
      </c>
      <c r="F473" s="216" t="s">
        <v>419</v>
      </c>
      <c r="G473" s="216">
        <v>2</v>
      </c>
      <c r="H473" s="216" t="s">
        <v>319</v>
      </c>
      <c r="I473" s="217">
        <v>562</v>
      </c>
      <c r="J473" s="217">
        <v>316.60000000000002</v>
      </c>
      <c r="K473" s="218">
        <v>31</v>
      </c>
      <c r="L473" s="216" t="s">
        <v>417</v>
      </c>
      <c r="M473" s="216" t="s">
        <v>423</v>
      </c>
      <c r="N473" s="219" t="s">
        <v>673</v>
      </c>
      <c r="O473" s="221">
        <v>3645971.35</v>
      </c>
      <c r="P473" s="221">
        <v>0</v>
      </c>
      <c r="Q473" s="221">
        <v>0</v>
      </c>
      <c r="R473" s="221">
        <v>0</v>
      </c>
      <c r="S473" s="221">
        <f t="shared" si="202"/>
        <v>3645971.35</v>
      </c>
      <c r="T473" s="221">
        <f t="shared" si="195"/>
        <v>6487.4935053380786</v>
      </c>
      <c r="U473" s="221">
        <v>11294.05</v>
      </c>
      <c r="V473" s="27">
        <f t="shared" si="199"/>
        <v>0</v>
      </c>
    </row>
    <row r="474" spans="1:22" ht="35.25" x14ac:dyDescent="0.5">
      <c r="A474">
        <v>1</v>
      </c>
      <c r="B474" s="223">
        <f>SUBTOTAL(9,$A$367:A474)</f>
        <v>95</v>
      </c>
      <c r="C474" s="225" t="s">
        <v>672</v>
      </c>
      <c r="D474" s="216"/>
      <c r="E474" s="216">
        <v>1981</v>
      </c>
      <c r="F474" s="216" t="s">
        <v>419</v>
      </c>
      <c r="G474" s="216">
        <v>2</v>
      </c>
      <c r="H474" s="216" t="s">
        <v>319</v>
      </c>
      <c r="I474" s="217">
        <v>851.7</v>
      </c>
      <c r="J474" s="217">
        <v>493.3</v>
      </c>
      <c r="K474" s="218">
        <v>30</v>
      </c>
      <c r="L474" s="216" t="s">
        <v>417</v>
      </c>
      <c r="M474" s="216" t="s">
        <v>423</v>
      </c>
      <c r="N474" s="219" t="s">
        <v>673</v>
      </c>
      <c r="O474" s="221">
        <v>8283648.4500000002</v>
      </c>
      <c r="P474" s="221">
        <v>0</v>
      </c>
      <c r="Q474" s="221">
        <v>0</v>
      </c>
      <c r="R474" s="221">
        <v>0</v>
      </c>
      <c r="S474" s="221">
        <f t="shared" si="202"/>
        <v>8283648.4500000002</v>
      </c>
      <c r="T474" s="221">
        <f t="shared" si="195"/>
        <v>9726.016731243395</v>
      </c>
      <c r="U474" s="221">
        <v>13593.28</v>
      </c>
      <c r="V474" s="27">
        <f t="shared" si="199"/>
        <v>0</v>
      </c>
    </row>
    <row r="475" spans="1:22" ht="35.25" x14ac:dyDescent="0.5">
      <c r="B475" s="215" t="s">
        <v>221</v>
      </c>
      <c r="C475" s="215"/>
      <c r="D475" s="216" t="s">
        <v>422</v>
      </c>
      <c r="E475" s="216" t="s">
        <v>422</v>
      </c>
      <c r="F475" s="216" t="s">
        <v>422</v>
      </c>
      <c r="G475" s="216" t="s">
        <v>422</v>
      </c>
      <c r="H475" s="216" t="s">
        <v>422</v>
      </c>
      <c r="I475" s="217">
        <f>I476</f>
        <v>5216.63</v>
      </c>
      <c r="J475" s="217">
        <f t="shared" ref="J475:K475" si="203">J476</f>
        <v>3293.3</v>
      </c>
      <c r="K475" s="218">
        <f t="shared" si="203"/>
        <v>126</v>
      </c>
      <c r="L475" s="216" t="s">
        <v>422</v>
      </c>
      <c r="M475" s="216" t="s">
        <v>422</v>
      </c>
      <c r="N475" s="219" t="s">
        <v>422</v>
      </c>
      <c r="O475" s="221">
        <v>14453477.609999999</v>
      </c>
      <c r="P475" s="221">
        <f t="shared" ref="P475:S475" si="204">P476</f>
        <v>0</v>
      </c>
      <c r="Q475" s="221">
        <f t="shared" si="204"/>
        <v>0</v>
      </c>
      <c r="R475" s="221">
        <f t="shared" si="204"/>
        <v>0</v>
      </c>
      <c r="S475" s="221">
        <f t="shared" si="204"/>
        <v>14453477.609999999</v>
      </c>
      <c r="T475" s="221">
        <f t="shared" si="195"/>
        <v>2770.6541598694939</v>
      </c>
      <c r="U475" s="221">
        <f>U476</f>
        <v>2918.08</v>
      </c>
      <c r="V475" s="27">
        <f t="shared" si="199"/>
        <v>0</v>
      </c>
    </row>
    <row r="476" spans="1:22" ht="35.25" x14ac:dyDescent="0.5">
      <c r="A476">
        <v>1</v>
      </c>
      <c r="B476" s="223">
        <f>SUBTOTAL(9,$A$367:A476)</f>
        <v>96</v>
      </c>
      <c r="C476" s="225" t="s">
        <v>220</v>
      </c>
      <c r="D476" s="216"/>
      <c r="E476" s="216">
        <v>1978</v>
      </c>
      <c r="F476" s="216" t="s">
        <v>419</v>
      </c>
      <c r="G476" s="216">
        <v>5</v>
      </c>
      <c r="H476" s="216" t="s">
        <v>326</v>
      </c>
      <c r="I476" s="217">
        <v>5216.63</v>
      </c>
      <c r="J476" s="217">
        <v>3293.3</v>
      </c>
      <c r="K476" s="218">
        <v>126</v>
      </c>
      <c r="L476" s="216" t="s">
        <v>417</v>
      </c>
      <c r="M476" s="216" t="s">
        <v>423</v>
      </c>
      <c r="N476" s="219" t="s">
        <v>452</v>
      </c>
      <c r="O476" s="221">
        <v>14453477.609999999</v>
      </c>
      <c r="P476" s="221">
        <v>0</v>
      </c>
      <c r="Q476" s="221">
        <v>0</v>
      </c>
      <c r="R476" s="221">
        <v>0</v>
      </c>
      <c r="S476" s="221">
        <f t="shared" si="196"/>
        <v>14453477.609999999</v>
      </c>
      <c r="T476" s="221">
        <f t="shared" si="195"/>
        <v>2770.6541598694939</v>
      </c>
      <c r="U476" s="221">
        <v>2918.08</v>
      </c>
      <c r="V476" s="27">
        <f t="shared" si="199"/>
        <v>0</v>
      </c>
    </row>
    <row r="477" spans="1:22" ht="35.25" x14ac:dyDescent="0.5">
      <c r="B477" s="236" t="s">
        <v>694</v>
      </c>
      <c r="C477" s="236"/>
      <c r="D477" s="216" t="s">
        <v>422</v>
      </c>
      <c r="E477" s="216" t="s">
        <v>422</v>
      </c>
      <c r="F477" s="216" t="s">
        <v>422</v>
      </c>
      <c r="G477" s="216" t="s">
        <v>422</v>
      </c>
      <c r="H477" s="216" t="s">
        <v>422</v>
      </c>
      <c r="I477" s="217">
        <f>SUM(I478:I482)</f>
        <v>3705.8999999999996</v>
      </c>
      <c r="J477" s="217">
        <f t="shared" ref="J477" si="205">SUM(J478:J482)</f>
        <v>2754.2100000000005</v>
      </c>
      <c r="K477" s="218">
        <f>SUM(K478:K482)</f>
        <v>214</v>
      </c>
      <c r="L477" s="216" t="s">
        <v>422</v>
      </c>
      <c r="M477" s="216" t="s">
        <v>422</v>
      </c>
      <c r="N477" s="219" t="s">
        <v>422</v>
      </c>
      <c r="O477" s="220">
        <f>SUM(O478:O482)</f>
        <v>42707353.960000001</v>
      </c>
      <c r="P477" s="220">
        <f t="shared" ref="P477:S477" si="206">SUM(P478:P482)</f>
        <v>0</v>
      </c>
      <c r="Q477" s="220">
        <f t="shared" si="206"/>
        <v>0</v>
      </c>
      <c r="R477" s="220">
        <f t="shared" si="206"/>
        <v>0</v>
      </c>
      <c r="S477" s="220">
        <f t="shared" si="206"/>
        <v>42707353.960000001</v>
      </c>
      <c r="T477" s="221">
        <f t="shared" ref="T477:T486" si="207">O477/I477</f>
        <v>11524.151747213904</v>
      </c>
      <c r="U477" s="221">
        <f>MAX(U478:U482)</f>
        <v>14421.75</v>
      </c>
      <c r="V477" s="27">
        <f t="shared" si="199"/>
        <v>0</v>
      </c>
    </row>
    <row r="478" spans="1:22" ht="35.25" x14ac:dyDescent="0.5">
      <c r="A478">
        <v>1</v>
      </c>
      <c r="B478" s="223">
        <f>SUBTOTAL(9,$A$367:A478)</f>
        <v>97</v>
      </c>
      <c r="C478" s="225" t="s">
        <v>287</v>
      </c>
      <c r="D478" s="216"/>
      <c r="E478" s="216">
        <v>1984</v>
      </c>
      <c r="F478" s="216" t="s">
        <v>419</v>
      </c>
      <c r="G478" s="216">
        <v>2</v>
      </c>
      <c r="H478" s="216" t="s">
        <v>326</v>
      </c>
      <c r="I478" s="217">
        <v>859.8</v>
      </c>
      <c r="J478" s="217">
        <v>540.51</v>
      </c>
      <c r="K478" s="218">
        <v>47</v>
      </c>
      <c r="L478" s="216" t="s">
        <v>417</v>
      </c>
      <c r="M478" s="216" t="s">
        <v>424</v>
      </c>
      <c r="N478" s="219" t="s">
        <v>425</v>
      </c>
      <c r="O478" s="221">
        <v>7720511.1999999993</v>
      </c>
      <c r="P478" s="221">
        <v>0</v>
      </c>
      <c r="Q478" s="221">
        <v>0</v>
      </c>
      <c r="R478" s="221">
        <v>0</v>
      </c>
      <c r="S478" s="221">
        <f t="shared" ref="S478:S486" si="208">O478-P478-Q478-R478</f>
        <v>7720511.1999999993</v>
      </c>
      <c r="T478" s="221">
        <f t="shared" si="207"/>
        <v>8979.4268434519654</v>
      </c>
      <c r="U478" s="221">
        <v>8979.4268434519654</v>
      </c>
      <c r="V478" s="27">
        <f t="shared" si="199"/>
        <v>0</v>
      </c>
    </row>
    <row r="479" spans="1:22" ht="35.25" x14ac:dyDescent="0.5">
      <c r="A479">
        <v>1</v>
      </c>
      <c r="B479" s="223">
        <f>SUBTOTAL(9,$A$367:A479)</f>
        <v>98</v>
      </c>
      <c r="C479" s="225" t="s">
        <v>288</v>
      </c>
      <c r="D479" s="216"/>
      <c r="E479" s="216">
        <v>1973</v>
      </c>
      <c r="F479" s="216" t="s">
        <v>419</v>
      </c>
      <c r="G479" s="216">
        <v>2</v>
      </c>
      <c r="H479" s="216" t="s">
        <v>319</v>
      </c>
      <c r="I479" s="217">
        <v>780</v>
      </c>
      <c r="J479" s="217">
        <v>726.6</v>
      </c>
      <c r="K479" s="218">
        <v>41</v>
      </c>
      <c r="L479" s="216" t="s">
        <v>417</v>
      </c>
      <c r="M479" s="216" t="s">
        <v>423</v>
      </c>
      <c r="N479" s="219" t="s">
        <v>465</v>
      </c>
      <c r="O479" s="221">
        <v>8100747.6699999999</v>
      </c>
      <c r="P479" s="221">
        <v>0</v>
      </c>
      <c r="Q479" s="221">
        <v>0</v>
      </c>
      <c r="R479" s="221">
        <v>0</v>
      </c>
      <c r="S479" s="221">
        <f t="shared" si="208"/>
        <v>8100747.6699999999</v>
      </c>
      <c r="T479" s="221">
        <f t="shared" si="207"/>
        <v>10385.573935897435</v>
      </c>
      <c r="U479" s="221">
        <v>10580.97</v>
      </c>
      <c r="V479" s="27">
        <f t="shared" si="199"/>
        <v>0</v>
      </c>
    </row>
    <row r="480" spans="1:22" ht="35.25" x14ac:dyDescent="0.5">
      <c r="A480">
        <v>1</v>
      </c>
      <c r="B480" s="223">
        <f>SUBTOTAL(9,$A$367:A480)</f>
        <v>99</v>
      </c>
      <c r="C480" s="225" t="s">
        <v>289</v>
      </c>
      <c r="D480" s="216"/>
      <c r="E480" s="216">
        <v>1974</v>
      </c>
      <c r="F480" s="216" t="s">
        <v>419</v>
      </c>
      <c r="G480" s="216">
        <v>2</v>
      </c>
      <c r="H480" s="216" t="s">
        <v>319</v>
      </c>
      <c r="I480" s="217">
        <v>733.9</v>
      </c>
      <c r="J480" s="217">
        <v>416.7</v>
      </c>
      <c r="K480" s="218">
        <v>42</v>
      </c>
      <c r="L480" s="216" t="s">
        <v>417</v>
      </c>
      <c r="M480" s="216" t="s">
        <v>423</v>
      </c>
      <c r="N480" s="219" t="s">
        <v>465</v>
      </c>
      <c r="O480" s="221">
        <v>8204473.3399999999</v>
      </c>
      <c r="P480" s="221">
        <v>0</v>
      </c>
      <c r="Q480" s="221">
        <v>0</v>
      </c>
      <c r="R480" s="221">
        <v>0</v>
      </c>
      <c r="S480" s="221">
        <f t="shared" si="208"/>
        <v>8204473.3399999999</v>
      </c>
      <c r="T480" s="221">
        <f t="shared" si="207"/>
        <v>11179.279656628969</v>
      </c>
      <c r="U480" s="221">
        <v>11388.71</v>
      </c>
      <c r="V480" s="27">
        <f t="shared" si="199"/>
        <v>0</v>
      </c>
    </row>
    <row r="481" spans="1:22" ht="35.25" x14ac:dyDescent="0.5">
      <c r="A481">
        <v>1</v>
      </c>
      <c r="B481" s="223">
        <f>SUBTOTAL(9,$A$367:A481)</f>
        <v>100</v>
      </c>
      <c r="C481" s="225" t="s">
        <v>290</v>
      </c>
      <c r="D481" s="216"/>
      <c r="E481" s="216">
        <v>1963</v>
      </c>
      <c r="F481" s="216" t="s">
        <v>419</v>
      </c>
      <c r="G481" s="216">
        <v>2</v>
      </c>
      <c r="H481" s="216" t="s">
        <v>319</v>
      </c>
      <c r="I481" s="217">
        <v>642</v>
      </c>
      <c r="J481" s="217">
        <v>642</v>
      </c>
      <c r="K481" s="218">
        <v>42</v>
      </c>
      <c r="L481" s="216" t="s">
        <v>417</v>
      </c>
      <c r="M481" s="216" t="s">
        <v>424</v>
      </c>
      <c r="N481" s="219" t="s">
        <v>425</v>
      </c>
      <c r="O481" s="221">
        <v>8911546.0200000014</v>
      </c>
      <c r="P481" s="221">
        <v>0</v>
      </c>
      <c r="Q481" s="221">
        <v>0</v>
      </c>
      <c r="R481" s="221">
        <v>0</v>
      </c>
      <c r="S481" s="221">
        <f t="shared" si="208"/>
        <v>8911546.0200000014</v>
      </c>
      <c r="T481" s="221">
        <f t="shared" si="207"/>
        <v>13880.91280373832</v>
      </c>
      <c r="U481" s="221">
        <v>14142.07</v>
      </c>
      <c r="V481" s="27">
        <f t="shared" si="199"/>
        <v>0</v>
      </c>
    </row>
    <row r="482" spans="1:22" ht="35.25" x14ac:dyDescent="0.5">
      <c r="A482">
        <v>1</v>
      </c>
      <c r="B482" s="223">
        <f>SUBTOTAL(9,$A$367:A482)</f>
        <v>101</v>
      </c>
      <c r="C482" s="225" t="s">
        <v>291</v>
      </c>
      <c r="D482" s="216"/>
      <c r="E482" s="216">
        <v>1966</v>
      </c>
      <c r="F482" s="216" t="s">
        <v>419</v>
      </c>
      <c r="G482" s="216">
        <v>2</v>
      </c>
      <c r="H482" s="216" t="s">
        <v>319</v>
      </c>
      <c r="I482" s="217">
        <v>690.2</v>
      </c>
      <c r="J482" s="217">
        <v>428.4</v>
      </c>
      <c r="K482" s="218">
        <v>42</v>
      </c>
      <c r="L482" s="216" t="s">
        <v>417</v>
      </c>
      <c r="M482" s="216" t="s">
        <v>423</v>
      </c>
      <c r="N482" s="219" t="s">
        <v>465</v>
      </c>
      <c r="O482" s="221">
        <v>9770075.7299999986</v>
      </c>
      <c r="P482" s="221">
        <v>0</v>
      </c>
      <c r="Q482" s="221">
        <v>0</v>
      </c>
      <c r="R482" s="221">
        <v>0</v>
      </c>
      <c r="S482" s="221">
        <f t="shared" si="208"/>
        <v>9770075.7299999986</v>
      </c>
      <c r="T482" s="221">
        <f t="shared" si="207"/>
        <v>14155.427021153286</v>
      </c>
      <c r="U482" s="221">
        <v>14421.75</v>
      </c>
      <c r="V482" s="27">
        <f t="shared" si="199"/>
        <v>0</v>
      </c>
    </row>
    <row r="483" spans="1:22" ht="35.25" x14ac:dyDescent="0.5">
      <c r="B483" s="236" t="s">
        <v>695</v>
      </c>
      <c r="C483" s="236"/>
      <c r="D483" s="216" t="s">
        <v>422</v>
      </c>
      <c r="E483" s="216" t="s">
        <v>422</v>
      </c>
      <c r="F483" s="216" t="s">
        <v>422</v>
      </c>
      <c r="G483" s="216" t="s">
        <v>422</v>
      </c>
      <c r="H483" s="216" t="s">
        <v>422</v>
      </c>
      <c r="I483" s="217">
        <f>SUM(I484:I486)</f>
        <v>12077.75</v>
      </c>
      <c r="J483" s="217">
        <f t="shared" ref="J483:K483" si="209">SUM(J484:J486)</f>
        <v>9387</v>
      </c>
      <c r="K483" s="218">
        <f t="shared" si="209"/>
        <v>539</v>
      </c>
      <c r="L483" s="216" t="s">
        <v>422</v>
      </c>
      <c r="M483" s="216" t="s">
        <v>422</v>
      </c>
      <c r="N483" s="219" t="s">
        <v>422</v>
      </c>
      <c r="O483" s="221">
        <f>SUM(O484:O486)</f>
        <v>48109009.640000001</v>
      </c>
      <c r="P483" s="221">
        <f t="shared" ref="P483:S483" si="210">SUM(P484:P486)</f>
        <v>0</v>
      </c>
      <c r="Q483" s="221">
        <f t="shared" si="210"/>
        <v>0</v>
      </c>
      <c r="R483" s="221">
        <f t="shared" si="210"/>
        <v>0</v>
      </c>
      <c r="S483" s="221">
        <f t="shared" si="210"/>
        <v>48109009.640000001</v>
      </c>
      <c r="T483" s="221">
        <f t="shared" si="207"/>
        <v>3983.2758286932585</v>
      </c>
      <c r="U483" s="221">
        <f>MAX(U484:U486)</f>
        <v>10018.85</v>
      </c>
      <c r="V483" s="27">
        <f t="shared" si="199"/>
        <v>0</v>
      </c>
    </row>
    <row r="484" spans="1:22" ht="35.25" x14ac:dyDescent="0.5">
      <c r="A484">
        <v>1</v>
      </c>
      <c r="B484" s="223">
        <f>SUBTOTAL(9,$A$367:A484)</f>
        <v>102</v>
      </c>
      <c r="C484" s="225" t="s">
        <v>292</v>
      </c>
      <c r="D484" s="216"/>
      <c r="E484" s="216">
        <v>1976</v>
      </c>
      <c r="F484" s="216" t="s">
        <v>419</v>
      </c>
      <c r="G484" s="216">
        <v>5</v>
      </c>
      <c r="H484" s="216" t="s">
        <v>323</v>
      </c>
      <c r="I484" s="217">
        <v>5894.85</v>
      </c>
      <c r="J484" s="217">
        <v>4491.5</v>
      </c>
      <c r="K484" s="218">
        <v>255</v>
      </c>
      <c r="L484" s="216" t="s">
        <v>417</v>
      </c>
      <c r="M484" s="216" t="s">
        <v>423</v>
      </c>
      <c r="N484" s="219" t="s">
        <v>470</v>
      </c>
      <c r="O484" s="221">
        <v>19765352.07</v>
      </c>
      <c r="P484" s="221">
        <v>0</v>
      </c>
      <c r="Q484" s="221">
        <v>0</v>
      </c>
      <c r="R484" s="221">
        <v>0</v>
      </c>
      <c r="S484" s="221">
        <f t="shared" si="208"/>
        <v>19765352.07</v>
      </c>
      <c r="T484" s="221">
        <f t="shared" si="207"/>
        <v>3352.9864322247386</v>
      </c>
      <c r="U484" s="221">
        <v>3416.07</v>
      </c>
      <c r="V484" s="27">
        <f t="shared" si="199"/>
        <v>0</v>
      </c>
    </row>
    <row r="485" spans="1:22" ht="35.25" x14ac:dyDescent="0.5">
      <c r="A485">
        <v>1</v>
      </c>
      <c r="B485" s="223">
        <f>SUBTOTAL(9,$A$367:A485)</f>
        <v>103</v>
      </c>
      <c r="C485" s="225" t="s">
        <v>293</v>
      </c>
      <c r="D485" s="216"/>
      <c r="E485" s="216">
        <v>1982</v>
      </c>
      <c r="F485" s="216" t="s">
        <v>419</v>
      </c>
      <c r="G485" s="216">
        <v>5</v>
      </c>
      <c r="H485" s="216" t="s">
        <v>323</v>
      </c>
      <c r="I485" s="217">
        <v>5448.7</v>
      </c>
      <c r="J485" s="217">
        <v>4414.5</v>
      </c>
      <c r="K485" s="218">
        <v>247</v>
      </c>
      <c r="L485" s="216" t="s">
        <v>417</v>
      </c>
      <c r="M485" s="216" t="s">
        <v>423</v>
      </c>
      <c r="N485" s="219" t="s">
        <v>467</v>
      </c>
      <c r="O485" s="221">
        <v>21123655</v>
      </c>
      <c r="P485" s="221">
        <v>0</v>
      </c>
      <c r="Q485" s="221">
        <v>0</v>
      </c>
      <c r="R485" s="221">
        <v>0</v>
      </c>
      <c r="S485" s="221">
        <f t="shared" si="208"/>
        <v>21123655</v>
      </c>
      <c r="T485" s="221">
        <f t="shared" si="207"/>
        <v>3876.8247471874024</v>
      </c>
      <c r="U485" s="221">
        <v>3949.77</v>
      </c>
      <c r="V485" s="27">
        <f t="shared" si="199"/>
        <v>0</v>
      </c>
    </row>
    <row r="486" spans="1:22" ht="35.25" x14ac:dyDescent="0.5">
      <c r="A486">
        <v>1</v>
      </c>
      <c r="B486" s="223">
        <f>SUBTOTAL(9,$A$367:A486)</f>
        <v>104</v>
      </c>
      <c r="C486" s="225" t="s">
        <v>294</v>
      </c>
      <c r="D486" s="216"/>
      <c r="E486" s="216">
        <v>1976</v>
      </c>
      <c r="F486" s="216" t="s">
        <v>419</v>
      </c>
      <c r="G486" s="216">
        <v>2</v>
      </c>
      <c r="H486" s="216" t="s">
        <v>319</v>
      </c>
      <c r="I486" s="217">
        <v>734.2</v>
      </c>
      <c r="J486" s="217">
        <v>481</v>
      </c>
      <c r="K486" s="218">
        <v>37</v>
      </c>
      <c r="L486" s="216" t="s">
        <v>417</v>
      </c>
      <c r="M486" s="216" t="s">
        <v>424</v>
      </c>
      <c r="N486" s="219" t="s">
        <v>425</v>
      </c>
      <c r="O486" s="221">
        <v>7220002.5700000003</v>
      </c>
      <c r="P486" s="221">
        <v>0</v>
      </c>
      <c r="Q486" s="221">
        <v>0</v>
      </c>
      <c r="R486" s="221">
        <v>0</v>
      </c>
      <c r="S486" s="221">
        <f t="shared" si="208"/>
        <v>7220002.5700000003</v>
      </c>
      <c r="T486" s="221">
        <f t="shared" si="207"/>
        <v>9833.8362435303734</v>
      </c>
      <c r="U486" s="221">
        <v>10018.85</v>
      </c>
      <c r="V486" s="27">
        <f t="shared" si="199"/>
        <v>0</v>
      </c>
    </row>
    <row r="487" spans="1:22" ht="35.25" x14ac:dyDescent="0.5">
      <c r="B487" s="215" t="s">
        <v>688</v>
      </c>
      <c r="C487" s="215"/>
      <c r="D487" s="216" t="s">
        <v>422</v>
      </c>
      <c r="E487" s="216" t="s">
        <v>422</v>
      </c>
      <c r="F487" s="216" t="s">
        <v>422</v>
      </c>
      <c r="G487" s="216" t="s">
        <v>422</v>
      </c>
      <c r="H487" s="216" t="s">
        <v>422</v>
      </c>
      <c r="I487" s="217">
        <f>I488</f>
        <v>960.1</v>
      </c>
      <c r="J487" s="217">
        <f t="shared" ref="J487:K487" si="211">J488</f>
        <v>872.2</v>
      </c>
      <c r="K487" s="218">
        <f t="shared" si="211"/>
        <v>40</v>
      </c>
      <c r="L487" s="216" t="s">
        <v>422</v>
      </c>
      <c r="M487" s="216" t="s">
        <v>422</v>
      </c>
      <c r="N487" s="219" t="s">
        <v>422</v>
      </c>
      <c r="O487" s="221">
        <v>12022272.17</v>
      </c>
      <c r="P487" s="221">
        <f t="shared" ref="P487:S487" si="212">P488</f>
        <v>0</v>
      </c>
      <c r="Q487" s="221">
        <f t="shared" si="212"/>
        <v>0</v>
      </c>
      <c r="R487" s="221">
        <f t="shared" si="212"/>
        <v>0</v>
      </c>
      <c r="S487" s="221">
        <f t="shared" si="212"/>
        <v>12022272.17</v>
      </c>
      <c r="T487" s="221">
        <f t="shared" si="195"/>
        <v>12521.895812936153</v>
      </c>
      <c r="U487" s="221">
        <f>U488</f>
        <v>13201.42</v>
      </c>
      <c r="V487" s="27">
        <f t="shared" si="199"/>
        <v>0</v>
      </c>
    </row>
    <row r="488" spans="1:22" ht="35.25" x14ac:dyDescent="0.5">
      <c r="A488">
        <v>1</v>
      </c>
      <c r="B488" s="223">
        <f>SUBTOTAL(9,$A$367:A488)</f>
        <v>105</v>
      </c>
      <c r="C488" s="225" t="s">
        <v>225</v>
      </c>
      <c r="D488" s="216"/>
      <c r="E488" s="216">
        <v>1995</v>
      </c>
      <c r="F488" s="216" t="s">
        <v>419</v>
      </c>
      <c r="G488" s="216">
        <v>2</v>
      </c>
      <c r="H488" s="216" t="s">
        <v>326</v>
      </c>
      <c r="I488" s="217">
        <v>960.1</v>
      </c>
      <c r="J488" s="217">
        <v>872.2</v>
      </c>
      <c r="K488" s="218">
        <v>40</v>
      </c>
      <c r="L488" s="216" t="s">
        <v>417</v>
      </c>
      <c r="M488" s="216" t="s">
        <v>424</v>
      </c>
      <c r="N488" s="219" t="s">
        <v>425</v>
      </c>
      <c r="O488" s="221">
        <v>12022272.17</v>
      </c>
      <c r="P488" s="221">
        <v>0</v>
      </c>
      <c r="Q488" s="221">
        <v>0</v>
      </c>
      <c r="R488" s="221">
        <v>0</v>
      </c>
      <c r="S488" s="221">
        <f t="shared" si="196"/>
        <v>12022272.17</v>
      </c>
      <c r="T488" s="221">
        <f t="shared" si="195"/>
        <v>12521.895812936153</v>
      </c>
      <c r="U488" s="221">
        <v>13201.42</v>
      </c>
      <c r="V488" s="27">
        <f t="shared" si="199"/>
        <v>0</v>
      </c>
    </row>
    <row r="489" spans="1:22" ht="35.25" x14ac:dyDescent="0.5">
      <c r="B489" s="215" t="s">
        <v>241</v>
      </c>
      <c r="C489" s="215"/>
      <c r="D489" s="216" t="s">
        <v>422</v>
      </c>
      <c r="E489" s="216" t="s">
        <v>422</v>
      </c>
      <c r="F489" s="216" t="s">
        <v>422</v>
      </c>
      <c r="G489" s="216" t="s">
        <v>422</v>
      </c>
      <c r="H489" s="216" t="s">
        <v>422</v>
      </c>
      <c r="I489" s="217">
        <f>SUM(I490:I494)</f>
        <v>18016.48</v>
      </c>
      <c r="J489" s="217">
        <f t="shared" ref="J489:K489" si="213">SUM(J490:J494)</f>
        <v>11806.3</v>
      </c>
      <c r="K489" s="218">
        <f t="shared" si="213"/>
        <v>526</v>
      </c>
      <c r="L489" s="216" t="s">
        <v>422</v>
      </c>
      <c r="M489" s="216" t="s">
        <v>422</v>
      </c>
      <c r="N489" s="219" t="s">
        <v>422</v>
      </c>
      <c r="O489" s="221">
        <f>SUM(O490:O494)</f>
        <v>53842195.050000004</v>
      </c>
      <c r="P489" s="221">
        <f t="shared" ref="P489:S489" si="214">SUM(P490:P494)</f>
        <v>0</v>
      </c>
      <c r="Q489" s="221">
        <f t="shared" si="214"/>
        <v>0</v>
      </c>
      <c r="R489" s="221">
        <f t="shared" si="214"/>
        <v>0</v>
      </c>
      <c r="S489" s="221">
        <f t="shared" si="214"/>
        <v>53842195.050000004</v>
      </c>
      <c r="T489" s="221">
        <f t="shared" ref="T489:T548" si="215">O489/I489</f>
        <v>2988.4969233723796</v>
      </c>
      <c r="U489" s="221">
        <f>MAX(U490:U494)</f>
        <v>14693.36</v>
      </c>
      <c r="V489" s="27">
        <f t="shared" si="199"/>
        <v>0</v>
      </c>
    </row>
    <row r="490" spans="1:22" ht="35.25" x14ac:dyDescent="0.5">
      <c r="A490">
        <v>1</v>
      </c>
      <c r="B490" s="223">
        <f>SUBTOTAL(9,$A$367:A490)</f>
        <v>106</v>
      </c>
      <c r="C490" s="225" t="s">
        <v>236</v>
      </c>
      <c r="D490" s="216"/>
      <c r="E490" s="216">
        <v>1965</v>
      </c>
      <c r="F490" s="216" t="s">
        <v>419</v>
      </c>
      <c r="G490" s="216">
        <v>5</v>
      </c>
      <c r="H490" s="216" t="s">
        <v>319</v>
      </c>
      <c r="I490" s="217">
        <v>3312.18</v>
      </c>
      <c r="J490" s="217">
        <v>2153.9</v>
      </c>
      <c r="K490" s="218">
        <v>84</v>
      </c>
      <c r="L490" s="216" t="s">
        <v>417</v>
      </c>
      <c r="M490" s="216" t="s">
        <v>423</v>
      </c>
      <c r="N490" s="219" t="s">
        <v>456</v>
      </c>
      <c r="O490" s="221">
        <v>8518016.2100000009</v>
      </c>
      <c r="P490" s="221">
        <v>0</v>
      </c>
      <c r="Q490" s="221">
        <v>0</v>
      </c>
      <c r="R490" s="221">
        <v>0</v>
      </c>
      <c r="S490" s="221">
        <f t="shared" ref="S490:S511" si="216">O490-P490-Q490-R490</f>
        <v>8518016.2100000009</v>
      </c>
      <c r="T490" s="221">
        <f t="shared" si="215"/>
        <v>2571.7250300406381</v>
      </c>
      <c r="U490" s="221">
        <v>2620.11</v>
      </c>
      <c r="V490" s="27">
        <f t="shared" si="199"/>
        <v>0</v>
      </c>
    </row>
    <row r="491" spans="1:22" ht="35.25" x14ac:dyDescent="0.5">
      <c r="A491">
        <v>1</v>
      </c>
      <c r="B491" s="223">
        <f>SUBTOTAL(9,$A$367:A491)</f>
        <v>107</v>
      </c>
      <c r="C491" s="225" t="s">
        <v>237</v>
      </c>
      <c r="D491" s="216"/>
      <c r="E491" s="216">
        <v>1965</v>
      </c>
      <c r="F491" s="216" t="s">
        <v>419</v>
      </c>
      <c r="G491" s="216">
        <v>2</v>
      </c>
      <c r="H491" s="216" t="s">
        <v>319</v>
      </c>
      <c r="I491" s="217">
        <v>724.14</v>
      </c>
      <c r="J491" s="217">
        <v>628.9</v>
      </c>
      <c r="K491" s="218">
        <v>33</v>
      </c>
      <c r="L491" s="216" t="s">
        <v>417</v>
      </c>
      <c r="M491" s="216" t="s">
        <v>424</v>
      </c>
      <c r="N491" s="219" t="s">
        <v>425</v>
      </c>
      <c r="O491" s="221">
        <v>7522766.6300000008</v>
      </c>
      <c r="P491" s="221">
        <v>0</v>
      </c>
      <c r="Q491" s="221">
        <v>0</v>
      </c>
      <c r="R491" s="221">
        <v>0</v>
      </c>
      <c r="S491" s="221">
        <f t="shared" si="216"/>
        <v>7522766.6300000008</v>
      </c>
      <c r="T491" s="221">
        <f t="shared" si="215"/>
        <v>10388.55280746817</v>
      </c>
      <c r="U491" s="221">
        <v>14693.36</v>
      </c>
      <c r="V491" s="27">
        <f t="shared" si="199"/>
        <v>0</v>
      </c>
    </row>
    <row r="492" spans="1:22" ht="35.25" x14ac:dyDescent="0.5">
      <c r="A492">
        <v>1</v>
      </c>
      <c r="B492" s="223">
        <f>SUBTOTAL(9,$A$367:A492)</f>
        <v>108</v>
      </c>
      <c r="C492" s="225" t="s">
        <v>238</v>
      </c>
      <c r="D492" s="216"/>
      <c r="E492" s="216">
        <v>1989</v>
      </c>
      <c r="F492" s="216" t="s">
        <v>419</v>
      </c>
      <c r="G492" s="216">
        <v>5</v>
      </c>
      <c r="H492" s="216" t="s">
        <v>334</v>
      </c>
      <c r="I492" s="217">
        <v>5301.9</v>
      </c>
      <c r="J492" s="217">
        <v>3688.7</v>
      </c>
      <c r="K492" s="218">
        <v>176</v>
      </c>
      <c r="L492" s="216" t="s">
        <v>417</v>
      </c>
      <c r="M492" s="216" t="s">
        <v>423</v>
      </c>
      <c r="N492" s="219" t="s">
        <v>454</v>
      </c>
      <c r="O492" s="221">
        <v>13858352.5</v>
      </c>
      <c r="P492" s="221">
        <v>0</v>
      </c>
      <c r="Q492" s="221">
        <v>0</v>
      </c>
      <c r="R492" s="221">
        <v>0</v>
      </c>
      <c r="S492" s="221">
        <f t="shared" si="216"/>
        <v>13858352.5</v>
      </c>
      <c r="T492" s="221">
        <f t="shared" si="215"/>
        <v>2613.8464512721857</v>
      </c>
      <c r="U492" s="221">
        <v>2805.29</v>
      </c>
      <c r="V492" s="27">
        <f t="shared" si="199"/>
        <v>0</v>
      </c>
    </row>
    <row r="493" spans="1:22" ht="35.25" x14ac:dyDescent="0.5">
      <c r="A493">
        <v>1</v>
      </c>
      <c r="B493" s="223">
        <f>SUBTOTAL(9,$A$367:A493)</f>
        <v>109</v>
      </c>
      <c r="C493" s="225" t="s">
        <v>239</v>
      </c>
      <c r="D493" s="216"/>
      <c r="E493" s="216">
        <v>1992</v>
      </c>
      <c r="F493" s="216" t="s">
        <v>420</v>
      </c>
      <c r="G493" s="216">
        <v>5</v>
      </c>
      <c r="H493" s="216" t="s">
        <v>321</v>
      </c>
      <c r="I493" s="217">
        <v>7998.26</v>
      </c>
      <c r="J493" s="217">
        <v>4654.8</v>
      </c>
      <c r="K493" s="218">
        <v>194</v>
      </c>
      <c r="L493" s="216" t="s">
        <v>417</v>
      </c>
      <c r="M493" s="216" t="s">
        <v>423</v>
      </c>
      <c r="N493" s="219" t="s">
        <v>454</v>
      </c>
      <c r="O493" s="221">
        <v>15641642.419999998</v>
      </c>
      <c r="P493" s="221">
        <v>0</v>
      </c>
      <c r="Q493" s="221">
        <v>0</v>
      </c>
      <c r="R493" s="221">
        <v>0</v>
      </c>
      <c r="S493" s="221">
        <f t="shared" si="216"/>
        <v>15641642.419999998</v>
      </c>
      <c r="T493" s="221">
        <f t="shared" si="215"/>
        <v>1955.6306521668459</v>
      </c>
      <c r="U493" s="221">
        <v>2133.0100000000002</v>
      </c>
      <c r="V493" s="27">
        <f t="shared" si="199"/>
        <v>0</v>
      </c>
    </row>
    <row r="494" spans="1:22" ht="35.25" x14ac:dyDescent="0.5">
      <c r="A494">
        <v>1</v>
      </c>
      <c r="B494" s="223">
        <f>SUBTOTAL(9,$A$367:A494)</f>
        <v>110</v>
      </c>
      <c r="C494" s="225" t="s">
        <v>240</v>
      </c>
      <c r="D494" s="216"/>
      <c r="E494" s="216">
        <v>1972</v>
      </c>
      <c r="F494" s="216" t="s">
        <v>419</v>
      </c>
      <c r="G494" s="216">
        <v>2</v>
      </c>
      <c r="H494" s="216" t="s">
        <v>319</v>
      </c>
      <c r="I494" s="217">
        <v>680</v>
      </c>
      <c r="J494" s="217">
        <v>680</v>
      </c>
      <c r="K494" s="218">
        <v>39</v>
      </c>
      <c r="L494" s="216" t="s">
        <v>417</v>
      </c>
      <c r="M494" s="216" t="s">
        <v>423</v>
      </c>
      <c r="N494" s="219" t="s">
        <v>457</v>
      </c>
      <c r="O494" s="221">
        <v>8301417.29</v>
      </c>
      <c r="P494" s="221">
        <v>0</v>
      </c>
      <c r="Q494" s="221">
        <v>0</v>
      </c>
      <c r="R494" s="221">
        <v>0</v>
      </c>
      <c r="S494" s="221">
        <f t="shared" si="216"/>
        <v>8301417.29</v>
      </c>
      <c r="T494" s="221">
        <f t="shared" si="215"/>
        <v>12207.966602941176</v>
      </c>
      <c r="U494" s="221">
        <v>12437.65</v>
      </c>
      <c r="V494" s="27">
        <f t="shared" si="199"/>
        <v>0</v>
      </c>
    </row>
    <row r="495" spans="1:22" ht="35.25" x14ac:dyDescent="0.5">
      <c r="B495" s="215" t="s">
        <v>668</v>
      </c>
      <c r="C495" s="215"/>
      <c r="D495" s="216" t="s">
        <v>422</v>
      </c>
      <c r="E495" s="216" t="s">
        <v>422</v>
      </c>
      <c r="F495" s="216" t="s">
        <v>422</v>
      </c>
      <c r="G495" s="216" t="s">
        <v>422</v>
      </c>
      <c r="H495" s="216" t="s">
        <v>422</v>
      </c>
      <c r="I495" s="217">
        <f>I496+I497+I498+I499+I500+I501</f>
        <v>6700.91</v>
      </c>
      <c r="J495" s="217">
        <f t="shared" ref="J495:K495" si="217">J496+J497+J498+J499+J500+J501</f>
        <v>6055.7</v>
      </c>
      <c r="K495" s="218">
        <f t="shared" si="217"/>
        <v>464</v>
      </c>
      <c r="L495" s="216" t="s">
        <v>422</v>
      </c>
      <c r="M495" s="216" t="s">
        <v>422</v>
      </c>
      <c r="N495" s="219" t="s">
        <v>422</v>
      </c>
      <c r="O495" s="221">
        <f>SUM(O496:O501)</f>
        <v>33777859.039999999</v>
      </c>
      <c r="P495" s="221">
        <f t="shared" ref="P495:S495" si="218">SUM(P496:P501)</f>
        <v>0</v>
      </c>
      <c r="Q495" s="221">
        <f t="shared" si="218"/>
        <v>0</v>
      </c>
      <c r="R495" s="221">
        <f t="shared" si="218"/>
        <v>0</v>
      </c>
      <c r="S495" s="221">
        <f t="shared" si="218"/>
        <v>33777859.039999999</v>
      </c>
      <c r="T495" s="221">
        <f t="shared" si="215"/>
        <v>5040.7868543227714</v>
      </c>
      <c r="U495" s="221">
        <f>MAX(U496:U501)</f>
        <v>15161.65</v>
      </c>
      <c r="V495" s="27">
        <f t="shared" si="199"/>
        <v>0</v>
      </c>
    </row>
    <row r="496" spans="1:22" ht="35.25" x14ac:dyDescent="0.5">
      <c r="A496">
        <v>1</v>
      </c>
      <c r="B496" s="223">
        <f>SUBTOTAL(9,$A$367:A496)</f>
        <v>111</v>
      </c>
      <c r="C496" s="225" t="s">
        <v>250</v>
      </c>
      <c r="D496" s="216"/>
      <c r="E496" s="216">
        <v>1969</v>
      </c>
      <c r="F496" s="216" t="s">
        <v>419</v>
      </c>
      <c r="G496" s="216">
        <v>5</v>
      </c>
      <c r="H496" s="216" t="s">
        <v>326</v>
      </c>
      <c r="I496" s="217">
        <v>3582.1</v>
      </c>
      <c r="J496" s="217">
        <v>3581.6</v>
      </c>
      <c r="K496" s="218">
        <v>358</v>
      </c>
      <c r="L496" s="216" t="s">
        <v>417</v>
      </c>
      <c r="M496" s="216" t="s">
        <v>423</v>
      </c>
      <c r="N496" s="219" t="s">
        <v>459</v>
      </c>
      <c r="O496" s="221">
        <v>2616115.09</v>
      </c>
      <c r="P496" s="221">
        <v>0</v>
      </c>
      <c r="Q496" s="221">
        <v>0</v>
      </c>
      <c r="R496" s="221">
        <v>0</v>
      </c>
      <c r="S496" s="221">
        <f t="shared" si="216"/>
        <v>2616115.09</v>
      </c>
      <c r="T496" s="221">
        <f t="shared" si="215"/>
        <v>730.32999916250242</v>
      </c>
      <c r="U496" s="221">
        <v>730.33</v>
      </c>
      <c r="V496" s="27">
        <f t="shared" si="199"/>
        <v>0</v>
      </c>
    </row>
    <row r="497" spans="1:22" ht="35.25" x14ac:dyDescent="0.5">
      <c r="A497">
        <v>1</v>
      </c>
      <c r="B497" s="223">
        <f>SUBTOTAL(9,$A$367:A497)</f>
        <v>112</v>
      </c>
      <c r="C497" s="225" t="s">
        <v>251</v>
      </c>
      <c r="D497" s="216"/>
      <c r="E497" s="216">
        <v>1961</v>
      </c>
      <c r="F497" s="216" t="s">
        <v>419</v>
      </c>
      <c r="G497" s="216">
        <v>2</v>
      </c>
      <c r="H497" s="216" t="s">
        <v>319</v>
      </c>
      <c r="I497" s="217">
        <v>356.6</v>
      </c>
      <c r="J497" s="217">
        <v>273.3</v>
      </c>
      <c r="K497" s="218">
        <v>8</v>
      </c>
      <c r="L497" s="216" t="s">
        <v>417</v>
      </c>
      <c r="M497" s="216" t="s">
        <v>423</v>
      </c>
      <c r="N497" s="219" t="s">
        <v>461</v>
      </c>
      <c r="O497" s="221">
        <v>4950858.9000000004</v>
      </c>
      <c r="P497" s="221">
        <v>0</v>
      </c>
      <c r="Q497" s="221">
        <v>0</v>
      </c>
      <c r="R497" s="221">
        <v>0</v>
      </c>
      <c r="S497" s="221">
        <f t="shared" si="216"/>
        <v>4950858.9000000004</v>
      </c>
      <c r="T497" s="221">
        <f t="shared" si="215"/>
        <v>13883.507851934941</v>
      </c>
      <c r="U497" s="221">
        <v>14144.72</v>
      </c>
      <c r="V497" s="27">
        <f t="shared" si="199"/>
        <v>0</v>
      </c>
    </row>
    <row r="498" spans="1:22" ht="35.25" x14ac:dyDescent="0.5">
      <c r="A498">
        <v>1</v>
      </c>
      <c r="B498" s="223">
        <f>SUBTOTAL(9,$A$367:A498)</f>
        <v>113</v>
      </c>
      <c r="C498" s="225" t="s">
        <v>252</v>
      </c>
      <c r="D498" s="216"/>
      <c r="E498" s="216">
        <v>1968</v>
      </c>
      <c r="F498" s="216" t="s">
        <v>419</v>
      </c>
      <c r="G498" s="216">
        <v>2</v>
      </c>
      <c r="H498" s="216" t="s">
        <v>319</v>
      </c>
      <c r="I498" s="217">
        <v>783.81</v>
      </c>
      <c r="J498" s="217">
        <v>726</v>
      </c>
      <c r="K498" s="218">
        <v>20</v>
      </c>
      <c r="L498" s="216" t="s">
        <v>417</v>
      </c>
      <c r="M498" s="216" t="s">
        <v>423</v>
      </c>
      <c r="N498" s="219" t="s">
        <v>460</v>
      </c>
      <c r="O498" s="221">
        <v>441029.75</v>
      </c>
      <c r="P498" s="221">
        <v>0</v>
      </c>
      <c r="Q498" s="221">
        <v>0</v>
      </c>
      <c r="R498" s="221">
        <v>0</v>
      </c>
      <c r="S498" s="221">
        <f t="shared" si="216"/>
        <v>441029.75</v>
      </c>
      <c r="T498" s="221">
        <f t="shared" si="215"/>
        <v>562.6743088248428</v>
      </c>
      <c r="U498" s="221">
        <v>562.6743088248428</v>
      </c>
      <c r="V498" s="27">
        <f t="shared" si="199"/>
        <v>0</v>
      </c>
    </row>
    <row r="499" spans="1:22" ht="35.25" x14ac:dyDescent="0.5">
      <c r="A499">
        <v>1</v>
      </c>
      <c r="B499" s="223">
        <f>SUBTOTAL(9,$A$367:A499)</f>
        <v>114</v>
      </c>
      <c r="C499" s="225" t="s">
        <v>253</v>
      </c>
      <c r="D499" s="216"/>
      <c r="E499" s="216">
        <v>1974</v>
      </c>
      <c r="F499" s="216" t="s">
        <v>419</v>
      </c>
      <c r="G499" s="216">
        <v>2</v>
      </c>
      <c r="H499" s="216" t="s">
        <v>319</v>
      </c>
      <c r="I499" s="217">
        <v>715</v>
      </c>
      <c r="J499" s="217">
        <v>449.7</v>
      </c>
      <c r="K499" s="218">
        <v>16</v>
      </c>
      <c r="L499" s="216" t="s">
        <v>417</v>
      </c>
      <c r="M499" s="216" t="s">
        <v>424</v>
      </c>
      <c r="N499" s="219" t="s">
        <v>425</v>
      </c>
      <c r="O499" s="221">
        <v>9901717.8000000007</v>
      </c>
      <c r="P499" s="221">
        <v>0</v>
      </c>
      <c r="Q499" s="221">
        <v>0</v>
      </c>
      <c r="R499" s="221">
        <v>0</v>
      </c>
      <c r="S499" s="221">
        <f t="shared" si="216"/>
        <v>9901717.8000000007</v>
      </c>
      <c r="T499" s="221">
        <f t="shared" si="215"/>
        <v>13848.556363636364</v>
      </c>
      <c r="U499" s="221">
        <v>14109.11</v>
      </c>
      <c r="V499" s="27">
        <f t="shared" si="199"/>
        <v>0</v>
      </c>
    </row>
    <row r="500" spans="1:22" ht="35.25" x14ac:dyDescent="0.5">
      <c r="A500">
        <v>1</v>
      </c>
      <c r="B500" s="223">
        <f>SUBTOTAL(9,$A$367:A500)</f>
        <v>115</v>
      </c>
      <c r="C500" s="225" t="s">
        <v>254</v>
      </c>
      <c r="D500" s="216"/>
      <c r="E500" s="216">
        <v>1965</v>
      </c>
      <c r="F500" s="216" t="s">
        <v>419</v>
      </c>
      <c r="G500" s="216">
        <v>2</v>
      </c>
      <c r="H500" s="216" t="s">
        <v>319</v>
      </c>
      <c r="I500" s="217">
        <v>700.4</v>
      </c>
      <c r="J500" s="217">
        <v>462.1</v>
      </c>
      <c r="K500" s="218">
        <v>36</v>
      </c>
      <c r="L500" s="216" t="s">
        <v>417</v>
      </c>
      <c r="M500" s="216" t="s">
        <v>423</v>
      </c>
      <c r="N500" s="219" t="s">
        <v>458</v>
      </c>
      <c r="O500" s="221">
        <v>7489760.9000000004</v>
      </c>
      <c r="P500" s="221">
        <v>0</v>
      </c>
      <c r="Q500" s="221">
        <v>0</v>
      </c>
      <c r="R500" s="221">
        <v>0</v>
      </c>
      <c r="S500" s="221">
        <f t="shared" si="216"/>
        <v>7489760.9000000004</v>
      </c>
      <c r="T500" s="221">
        <f t="shared" si="215"/>
        <v>10693.547829811538</v>
      </c>
      <c r="U500" s="221">
        <v>10894.74</v>
      </c>
      <c r="V500" s="27">
        <f t="shared" si="199"/>
        <v>0</v>
      </c>
    </row>
    <row r="501" spans="1:22" ht="35.25" x14ac:dyDescent="0.5">
      <c r="A501">
        <v>1</v>
      </c>
      <c r="B501" s="223">
        <f>SUBTOTAL(9,$A$367:A501)</f>
        <v>116</v>
      </c>
      <c r="C501" s="225" t="s">
        <v>255</v>
      </c>
      <c r="D501" s="216"/>
      <c r="E501" s="216">
        <v>1984</v>
      </c>
      <c r="F501" s="216" t="s">
        <v>420</v>
      </c>
      <c r="G501" s="216">
        <v>2</v>
      </c>
      <c r="H501" s="216" t="s">
        <v>319</v>
      </c>
      <c r="I501" s="217">
        <v>563</v>
      </c>
      <c r="J501" s="217">
        <v>563</v>
      </c>
      <c r="K501" s="218">
        <v>26</v>
      </c>
      <c r="L501" s="216" t="s">
        <v>417</v>
      </c>
      <c r="M501" s="216" t="s">
        <v>423</v>
      </c>
      <c r="N501" s="219" t="s">
        <v>462</v>
      </c>
      <c r="O501" s="221">
        <v>8378376.5999999996</v>
      </c>
      <c r="P501" s="221">
        <v>0</v>
      </c>
      <c r="Q501" s="221">
        <v>0</v>
      </c>
      <c r="R501" s="221">
        <v>0</v>
      </c>
      <c r="S501" s="221">
        <f t="shared" si="216"/>
        <v>8378376.5999999996</v>
      </c>
      <c r="T501" s="221">
        <f t="shared" si="215"/>
        <v>14881.663587921847</v>
      </c>
      <c r="U501" s="221">
        <v>15161.65</v>
      </c>
      <c r="V501" s="27">
        <f t="shared" si="199"/>
        <v>0</v>
      </c>
    </row>
    <row r="502" spans="1:22" ht="35.25" x14ac:dyDescent="0.5">
      <c r="B502" s="215" t="s">
        <v>265</v>
      </c>
      <c r="C502" s="215"/>
      <c r="D502" s="216" t="s">
        <v>422</v>
      </c>
      <c r="E502" s="216" t="s">
        <v>422</v>
      </c>
      <c r="F502" s="216" t="s">
        <v>422</v>
      </c>
      <c r="G502" s="216" t="s">
        <v>422</v>
      </c>
      <c r="H502" s="216" t="s">
        <v>422</v>
      </c>
      <c r="I502" s="217">
        <f>I503</f>
        <v>402.9</v>
      </c>
      <c r="J502" s="217">
        <f t="shared" ref="J502:K502" si="219">J503</f>
        <v>325.89999999999998</v>
      </c>
      <c r="K502" s="218">
        <f t="shared" si="219"/>
        <v>36</v>
      </c>
      <c r="L502" s="216" t="s">
        <v>422</v>
      </c>
      <c r="M502" s="216" t="s">
        <v>422</v>
      </c>
      <c r="N502" s="219" t="s">
        <v>422</v>
      </c>
      <c r="O502" s="221">
        <v>4441177.17</v>
      </c>
      <c r="P502" s="221">
        <f t="shared" ref="P502:S502" si="220">P503</f>
        <v>0</v>
      </c>
      <c r="Q502" s="221">
        <f t="shared" si="220"/>
        <v>0</v>
      </c>
      <c r="R502" s="221">
        <f t="shared" si="220"/>
        <v>0</v>
      </c>
      <c r="S502" s="221">
        <f t="shared" si="220"/>
        <v>4441177.17</v>
      </c>
      <c r="T502" s="221">
        <f t="shared" si="215"/>
        <v>11023.025986597171</v>
      </c>
      <c r="U502" s="221">
        <f>U503</f>
        <v>11023.03</v>
      </c>
      <c r="V502" s="27">
        <f t="shared" si="199"/>
        <v>0</v>
      </c>
    </row>
    <row r="503" spans="1:22" ht="35.25" x14ac:dyDescent="0.5">
      <c r="A503">
        <v>1</v>
      </c>
      <c r="B503" s="223">
        <f>SUBTOTAL(9,$A$367:A503)</f>
        <v>117</v>
      </c>
      <c r="C503" s="225" t="s">
        <v>259</v>
      </c>
      <c r="D503" s="216"/>
      <c r="E503" s="216">
        <v>1983</v>
      </c>
      <c r="F503" s="216" t="s">
        <v>420</v>
      </c>
      <c r="G503" s="216">
        <v>2</v>
      </c>
      <c r="H503" s="216" t="s">
        <v>319</v>
      </c>
      <c r="I503" s="217">
        <v>402.9</v>
      </c>
      <c r="J503" s="217">
        <v>325.89999999999998</v>
      </c>
      <c r="K503" s="218">
        <v>36</v>
      </c>
      <c r="L503" s="216" t="s">
        <v>417</v>
      </c>
      <c r="M503" s="216" t="s">
        <v>424</v>
      </c>
      <c r="N503" s="219" t="s">
        <v>425</v>
      </c>
      <c r="O503" s="221">
        <v>4441177.17</v>
      </c>
      <c r="P503" s="221">
        <v>0</v>
      </c>
      <c r="Q503" s="221">
        <v>0</v>
      </c>
      <c r="R503" s="221">
        <v>0</v>
      </c>
      <c r="S503" s="221">
        <f t="shared" si="216"/>
        <v>4441177.17</v>
      </c>
      <c r="T503" s="221">
        <f t="shared" si="215"/>
        <v>11023.025986597171</v>
      </c>
      <c r="U503" s="221">
        <v>11023.03</v>
      </c>
      <c r="V503" s="27">
        <f t="shared" si="199"/>
        <v>0</v>
      </c>
    </row>
    <row r="504" spans="1:22" ht="35.25" x14ac:dyDescent="0.5">
      <c r="B504" s="215" t="s">
        <v>263</v>
      </c>
      <c r="C504" s="215"/>
      <c r="D504" s="216" t="s">
        <v>422</v>
      </c>
      <c r="E504" s="216" t="s">
        <v>422</v>
      </c>
      <c r="F504" s="216" t="s">
        <v>422</v>
      </c>
      <c r="G504" s="216" t="s">
        <v>422</v>
      </c>
      <c r="H504" s="216" t="s">
        <v>422</v>
      </c>
      <c r="I504" s="217">
        <f>I505</f>
        <v>432.7</v>
      </c>
      <c r="J504" s="217">
        <f t="shared" ref="J504:K504" si="221">J505</f>
        <v>432.7</v>
      </c>
      <c r="K504" s="218">
        <f t="shared" si="221"/>
        <v>21</v>
      </c>
      <c r="L504" s="216" t="s">
        <v>422</v>
      </c>
      <c r="M504" s="216" t="s">
        <v>422</v>
      </c>
      <c r="N504" s="219" t="s">
        <v>422</v>
      </c>
      <c r="O504" s="221">
        <v>4595412.62</v>
      </c>
      <c r="P504" s="221">
        <f t="shared" ref="P504:S504" si="222">P505</f>
        <v>0</v>
      </c>
      <c r="Q504" s="221">
        <f t="shared" si="222"/>
        <v>0</v>
      </c>
      <c r="R504" s="221">
        <f t="shared" si="222"/>
        <v>0</v>
      </c>
      <c r="S504" s="221">
        <f t="shared" si="222"/>
        <v>4595412.62</v>
      </c>
      <c r="T504" s="221">
        <f t="shared" si="215"/>
        <v>10620.320360526925</v>
      </c>
      <c r="U504" s="221">
        <f>U505</f>
        <v>10820.14</v>
      </c>
      <c r="V504" s="27">
        <f t="shared" si="199"/>
        <v>0</v>
      </c>
    </row>
    <row r="505" spans="1:22" ht="35.25" x14ac:dyDescent="0.5">
      <c r="A505">
        <v>1</v>
      </c>
      <c r="B505" s="223">
        <f>SUBTOTAL(9,$A$367:A505)</f>
        <v>118</v>
      </c>
      <c r="C505" s="225" t="s">
        <v>260</v>
      </c>
      <c r="D505" s="216"/>
      <c r="E505" s="216">
        <v>1979</v>
      </c>
      <c r="F505" s="216" t="s">
        <v>419</v>
      </c>
      <c r="G505" s="216">
        <v>2</v>
      </c>
      <c r="H505" s="216" t="s">
        <v>317</v>
      </c>
      <c r="I505" s="217">
        <v>432.7</v>
      </c>
      <c r="J505" s="217">
        <v>432.7</v>
      </c>
      <c r="K505" s="218">
        <v>21</v>
      </c>
      <c r="L505" s="216" t="s">
        <v>417</v>
      </c>
      <c r="M505" s="216" t="s">
        <v>424</v>
      </c>
      <c r="N505" s="219" t="s">
        <v>425</v>
      </c>
      <c r="O505" s="221">
        <v>4595412.62</v>
      </c>
      <c r="P505" s="221">
        <v>0</v>
      </c>
      <c r="Q505" s="221">
        <v>0</v>
      </c>
      <c r="R505" s="221">
        <v>0</v>
      </c>
      <c r="S505" s="221">
        <f t="shared" si="216"/>
        <v>4595412.62</v>
      </c>
      <c r="T505" s="221">
        <f t="shared" si="215"/>
        <v>10620.320360526925</v>
      </c>
      <c r="U505" s="221">
        <v>10820.14</v>
      </c>
      <c r="V505" s="27">
        <f t="shared" si="199"/>
        <v>0</v>
      </c>
    </row>
    <row r="506" spans="1:22" ht="35.25" x14ac:dyDescent="0.5">
      <c r="B506" s="215" t="s">
        <v>266</v>
      </c>
      <c r="C506" s="215"/>
      <c r="D506" s="216" t="s">
        <v>422</v>
      </c>
      <c r="E506" s="216" t="s">
        <v>422</v>
      </c>
      <c r="F506" s="216" t="s">
        <v>422</v>
      </c>
      <c r="G506" s="216" t="s">
        <v>422</v>
      </c>
      <c r="H506" s="216" t="s">
        <v>422</v>
      </c>
      <c r="I506" s="217">
        <f>I507</f>
        <v>1107</v>
      </c>
      <c r="J506" s="217">
        <f t="shared" ref="J506:K506" si="223">J507</f>
        <v>733</v>
      </c>
      <c r="K506" s="218">
        <f t="shared" si="223"/>
        <v>60</v>
      </c>
      <c r="L506" s="216" t="s">
        <v>422</v>
      </c>
      <c r="M506" s="216" t="s">
        <v>422</v>
      </c>
      <c r="N506" s="219" t="s">
        <v>422</v>
      </c>
      <c r="O506" s="221">
        <v>7553233.4500000002</v>
      </c>
      <c r="P506" s="221">
        <f t="shared" ref="P506:S506" si="224">P507</f>
        <v>0</v>
      </c>
      <c r="Q506" s="221">
        <f t="shared" si="224"/>
        <v>0</v>
      </c>
      <c r="R506" s="221">
        <f t="shared" si="224"/>
        <v>0</v>
      </c>
      <c r="S506" s="221">
        <f t="shared" si="224"/>
        <v>7553233.4500000002</v>
      </c>
      <c r="T506" s="221">
        <f t="shared" si="215"/>
        <v>6823.1557813911477</v>
      </c>
      <c r="U506" s="221">
        <f>U507</f>
        <v>6951.53</v>
      </c>
      <c r="V506" s="27">
        <f t="shared" si="199"/>
        <v>0</v>
      </c>
    </row>
    <row r="507" spans="1:22" ht="35.25" x14ac:dyDescent="0.5">
      <c r="A507">
        <v>1</v>
      </c>
      <c r="B507" s="223">
        <f>SUBTOTAL(9,$A$367:A507)</f>
        <v>119</v>
      </c>
      <c r="C507" s="225" t="s">
        <v>261</v>
      </c>
      <c r="D507" s="216"/>
      <c r="E507" s="216">
        <v>1977</v>
      </c>
      <c r="F507" s="216" t="s">
        <v>419</v>
      </c>
      <c r="G507" s="216">
        <v>3</v>
      </c>
      <c r="H507" s="216" t="s">
        <v>319</v>
      </c>
      <c r="I507" s="217">
        <v>1107</v>
      </c>
      <c r="J507" s="217">
        <v>733</v>
      </c>
      <c r="K507" s="218">
        <v>60</v>
      </c>
      <c r="L507" s="216" t="s">
        <v>417</v>
      </c>
      <c r="M507" s="216" t="s">
        <v>423</v>
      </c>
      <c r="N507" s="219" t="s">
        <v>463</v>
      </c>
      <c r="O507" s="221">
        <v>7553233.4500000002</v>
      </c>
      <c r="P507" s="221">
        <v>0</v>
      </c>
      <c r="Q507" s="221">
        <v>0</v>
      </c>
      <c r="R507" s="221">
        <v>0</v>
      </c>
      <c r="S507" s="221">
        <f t="shared" si="216"/>
        <v>7553233.4500000002</v>
      </c>
      <c r="T507" s="221">
        <f t="shared" si="215"/>
        <v>6823.1557813911477</v>
      </c>
      <c r="U507" s="221">
        <v>6951.53</v>
      </c>
      <c r="V507" s="27">
        <f t="shared" si="199"/>
        <v>0</v>
      </c>
    </row>
    <row r="508" spans="1:22" ht="35.25" x14ac:dyDescent="0.5">
      <c r="B508" s="215" t="s">
        <v>267</v>
      </c>
      <c r="C508" s="215"/>
      <c r="D508" s="216" t="s">
        <v>422</v>
      </c>
      <c r="E508" s="216" t="s">
        <v>422</v>
      </c>
      <c r="F508" s="216" t="s">
        <v>422</v>
      </c>
      <c r="G508" s="216" t="s">
        <v>422</v>
      </c>
      <c r="H508" s="216" t="s">
        <v>422</v>
      </c>
      <c r="I508" s="217">
        <f>I509</f>
        <v>813.7</v>
      </c>
      <c r="J508" s="217">
        <f>J509</f>
        <v>665.5</v>
      </c>
      <c r="K508" s="218">
        <f>K509</f>
        <v>26</v>
      </c>
      <c r="L508" s="216" t="s">
        <v>422</v>
      </c>
      <c r="M508" s="216" t="s">
        <v>422</v>
      </c>
      <c r="N508" s="219" t="s">
        <v>422</v>
      </c>
      <c r="O508" s="221">
        <v>9774772.6999999993</v>
      </c>
      <c r="P508" s="221">
        <f t="shared" ref="P508:S508" si="225">P509</f>
        <v>0</v>
      </c>
      <c r="Q508" s="221">
        <f t="shared" si="225"/>
        <v>0</v>
      </c>
      <c r="R508" s="221">
        <f t="shared" si="225"/>
        <v>0</v>
      </c>
      <c r="S508" s="221">
        <f t="shared" si="225"/>
        <v>9774772.6999999993</v>
      </c>
      <c r="T508" s="221">
        <f t="shared" si="215"/>
        <v>12012.747572815533</v>
      </c>
      <c r="U508" s="221">
        <f>U509</f>
        <v>12238.76</v>
      </c>
      <c r="V508" s="27">
        <f t="shared" si="199"/>
        <v>0</v>
      </c>
    </row>
    <row r="509" spans="1:22" ht="35.25" x14ac:dyDescent="0.5">
      <c r="A509">
        <v>1</v>
      </c>
      <c r="B509" s="223">
        <f>SUBTOTAL(9,$A$367:A509)</f>
        <v>120</v>
      </c>
      <c r="C509" s="225" t="s">
        <v>262</v>
      </c>
      <c r="D509" s="216"/>
      <c r="E509" s="216">
        <v>1950</v>
      </c>
      <c r="F509" s="216" t="s">
        <v>419</v>
      </c>
      <c r="G509" s="216">
        <v>2</v>
      </c>
      <c r="H509" s="216" t="s">
        <v>319</v>
      </c>
      <c r="I509" s="217">
        <v>813.7</v>
      </c>
      <c r="J509" s="217">
        <v>665.5</v>
      </c>
      <c r="K509" s="218">
        <v>26</v>
      </c>
      <c r="L509" s="216" t="s">
        <v>417</v>
      </c>
      <c r="M509" s="216" t="s">
        <v>424</v>
      </c>
      <c r="N509" s="219" t="s">
        <v>425</v>
      </c>
      <c r="O509" s="221">
        <v>9774772.6999999993</v>
      </c>
      <c r="P509" s="221">
        <v>0</v>
      </c>
      <c r="Q509" s="221">
        <v>0</v>
      </c>
      <c r="R509" s="221">
        <v>0</v>
      </c>
      <c r="S509" s="221">
        <f t="shared" si="216"/>
        <v>9774772.6999999993</v>
      </c>
      <c r="T509" s="221">
        <f t="shared" si="215"/>
        <v>12012.747572815533</v>
      </c>
      <c r="U509" s="221">
        <v>12238.76</v>
      </c>
      <c r="V509" s="27">
        <f t="shared" si="199"/>
        <v>0</v>
      </c>
    </row>
    <row r="510" spans="1:22" ht="35.25" x14ac:dyDescent="0.5">
      <c r="B510" s="215" t="s">
        <v>693</v>
      </c>
      <c r="C510" s="215"/>
      <c r="D510" s="216" t="s">
        <v>422</v>
      </c>
      <c r="E510" s="216" t="s">
        <v>422</v>
      </c>
      <c r="F510" s="216" t="s">
        <v>422</v>
      </c>
      <c r="G510" s="216" t="s">
        <v>422</v>
      </c>
      <c r="H510" s="216" t="s">
        <v>422</v>
      </c>
      <c r="I510" s="217">
        <f>I511</f>
        <v>5533.1</v>
      </c>
      <c r="J510" s="217">
        <f t="shared" ref="J510:K510" si="226">J511</f>
        <v>4417.8</v>
      </c>
      <c r="K510" s="218">
        <f t="shared" si="226"/>
        <v>164</v>
      </c>
      <c r="L510" s="216" t="s">
        <v>422</v>
      </c>
      <c r="M510" s="216" t="s">
        <v>422</v>
      </c>
      <c r="N510" s="219" t="s">
        <v>422</v>
      </c>
      <c r="O510" s="221">
        <v>20622231.5</v>
      </c>
      <c r="P510" s="221">
        <f t="shared" ref="P510:S510" si="227">P511</f>
        <v>0</v>
      </c>
      <c r="Q510" s="221">
        <f t="shared" si="227"/>
        <v>0</v>
      </c>
      <c r="R510" s="221">
        <f t="shared" si="227"/>
        <v>0</v>
      </c>
      <c r="S510" s="221">
        <f t="shared" si="227"/>
        <v>20622231.5</v>
      </c>
      <c r="T510" s="221">
        <f t="shared" si="215"/>
        <v>3727.0664726825826</v>
      </c>
      <c r="U510" s="221">
        <f>U511</f>
        <v>3797.19</v>
      </c>
      <c r="V510" s="27">
        <f t="shared" si="199"/>
        <v>0</v>
      </c>
    </row>
    <row r="511" spans="1:22" ht="35.25" x14ac:dyDescent="0.5">
      <c r="A511">
        <v>1</v>
      </c>
      <c r="B511" s="223">
        <f>SUBTOTAL(9,$A$367:A511)</f>
        <v>121</v>
      </c>
      <c r="C511" s="225" t="s">
        <v>271</v>
      </c>
      <c r="D511" s="216"/>
      <c r="E511" s="216">
        <v>1973</v>
      </c>
      <c r="F511" s="216" t="s">
        <v>419</v>
      </c>
      <c r="G511" s="216">
        <v>5</v>
      </c>
      <c r="H511" s="216" t="s">
        <v>323</v>
      </c>
      <c r="I511" s="217">
        <v>5533.1</v>
      </c>
      <c r="J511" s="217">
        <v>4417.8</v>
      </c>
      <c r="K511" s="218">
        <v>164</v>
      </c>
      <c r="L511" s="216" t="s">
        <v>417</v>
      </c>
      <c r="M511" s="216" t="s">
        <v>423</v>
      </c>
      <c r="N511" s="219" t="s">
        <v>464</v>
      </c>
      <c r="O511" s="221">
        <v>20622231.5</v>
      </c>
      <c r="P511" s="221">
        <v>0</v>
      </c>
      <c r="Q511" s="221">
        <v>0</v>
      </c>
      <c r="R511" s="221">
        <v>0</v>
      </c>
      <c r="S511" s="221">
        <f t="shared" si="216"/>
        <v>20622231.5</v>
      </c>
      <c r="T511" s="221">
        <f t="shared" si="215"/>
        <v>3727.0664726825826</v>
      </c>
      <c r="U511" s="221">
        <v>3797.19</v>
      </c>
      <c r="V511" s="27">
        <f t="shared" si="199"/>
        <v>0</v>
      </c>
    </row>
    <row r="512" spans="1:22" ht="35.25" x14ac:dyDescent="0.4">
      <c r="B512" s="240" t="s">
        <v>739</v>
      </c>
      <c r="C512" s="241"/>
      <c r="D512" s="241"/>
      <c r="E512" s="241"/>
      <c r="F512" s="241"/>
      <c r="G512" s="241"/>
      <c r="H512" s="241"/>
      <c r="I512" s="241"/>
      <c r="J512" s="241"/>
      <c r="K512" s="241"/>
      <c r="L512" s="241"/>
      <c r="M512" s="241"/>
      <c r="N512" s="241"/>
      <c r="O512" s="241"/>
      <c r="P512" s="241"/>
      <c r="Q512" s="241"/>
      <c r="R512" s="241"/>
      <c r="S512" s="241"/>
      <c r="T512" s="241"/>
      <c r="U512" s="242"/>
      <c r="V512" s="27">
        <f t="shared" si="199"/>
        <v>0</v>
      </c>
    </row>
    <row r="513" spans="2:22" ht="35.25" x14ac:dyDescent="0.5">
      <c r="B513" s="215" t="s">
        <v>731</v>
      </c>
      <c r="C513" s="215"/>
      <c r="D513" s="216" t="s">
        <v>422</v>
      </c>
      <c r="E513" s="216" t="s">
        <v>422</v>
      </c>
      <c r="F513" s="216" t="s">
        <v>422</v>
      </c>
      <c r="G513" s="216" t="s">
        <v>422</v>
      </c>
      <c r="H513" s="216" t="s">
        <v>422</v>
      </c>
      <c r="I513" s="217">
        <f>I514</f>
        <v>3647</v>
      </c>
      <c r="J513" s="217">
        <f t="shared" ref="J513:K513" si="228">J514</f>
        <v>2741.02</v>
      </c>
      <c r="K513" s="218">
        <f t="shared" si="228"/>
        <v>279</v>
      </c>
      <c r="L513" s="216" t="s">
        <v>422</v>
      </c>
      <c r="M513" s="216" t="s">
        <v>422</v>
      </c>
      <c r="N513" s="219" t="s">
        <v>422</v>
      </c>
      <c r="O513" s="221">
        <f>O514</f>
        <v>16948149.629999999</v>
      </c>
      <c r="P513" s="221">
        <f t="shared" ref="P513:S514" si="229">P514</f>
        <v>0</v>
      </c>
      <c r="Q513" s="221">
        <f t="shared" si="229"/>
        <v>0</v>
      </c>
      <c r="R513" s="221">
        <f t="shared" si="229"/>
        <v>0</v>
      </c>
      <c r="S513" s="221">
        <f t="shared" si="229"/>
        <v>16948149.629999999</v>
      </c>
      <c r="T513" s="221">
        <f t="shared" si="215"/>
        <v>4647.1482396490264</v>
      </c>
      <c r="U513" s="221">
        <f>U514</f>
        <v>4673.96</v>
      </c>
      <c r="V513" s="27">
        <f t="shared" si="199"/>
        <v>0</v>
      </c>
    </row>
    <row r="514" spans="2:22" ht="35.25" x14ac:dyDescent="0.5">
      <c r="B514" s="215" t="s">
        <v>676</v>
      </c>
      <c r="C514" s="215"/>
      <c r="D514" s="216" t="s">
        <v>422</v>
      </c>
      <c r="E514" s="216" t="s">
        <v>422</v>
      </c>
      <c r="F514" s="216" t="s">
        <v>422</v>
      </c>
      <c r="G514" s="216" t="s">
        <v>422</v>
      </c>
      <c r="H514" s="216" t="s">
        <v>422</v>
      </c>
      <c r="I514" s="217">
        <f>I515</f>
        <v>3647</v>
      </c>
      <c r="J514" s="217">
        <f>J515</f>
        <v>2741.02</v>
      </c>
      <c r="K514" s="218">
        <f>K515</f>
        <v>279</v>
      </c>
      <c r="L514" s="216" t="s">
        <v>422</v>
      </c>
      <c r="M514" s="216" t="s">
        <v>422</v>
      </c>
      <c r="N514" s="219" t="s">
        <v>422</v>
      </c>
      <c r="O514" s="221">
        <f>O515</f>
        <v>16948149.629999999</v>
      </c>
      <c r="P514" s="221">
        <f t="shared" si="229"/>
        <v>0</v>
      </c>
      <c r="Q514" s="221">
        <f t="shared" si="229"/>
        <v>0</v>
      </c>
      <c r="R514" s="221">
        <f t="shared" si="229"/>
        <v>0</v>
      </c>
      <c r="S514" s="221">
        <f t="shared" si="229"/>
        <v>16948149.629999999</v>
      </c>
      <c r="T514" s="221">
        <f t="shared" si="215"/>
        <v>4647.1482396490264</v>
      </c>
      <c r="U514" s="221">
        <f>U515</f>
        <v>4673.96</v>
      </c>
      <c r="V514" s="27">
        <f t="shared" si="199"/>
        <v>0</v>
      </c>
    </row>
    <row r="515" spans="2:22" ht="35.25" x14ac:dyDescent="0.5">
      <c r="B515" s="223">
        <v>1</v>
      </c>
      <c r="C515" s="225" t="s">
        <v>740</v>
      </c>
      <c r="D515" s="216"/>
      <c r="E515" s="216">
        <v>1971</v>
      </c>
      <c r="F515" s="216" t="s">
        <v>419</v>
      </c>
      <c r="G515" s="216">
        <v>5</v>
      </c>
      <c r="H515" s="216">
        <v>2</v>
      </c>
      <c r="I515" s="217">
        <v>3647</v>
      </c>
      <c r="J515" s="217">
        <v>2741.02</v>
      </c>
      <c r="K515" s="218">
        <v>279</v>
      </c>
      <c r="L515" s="216" t="s">
        <v>417</v>
      </c>
      <c r="M515" s="216" t="s">
        <v>423</v>
      </c>
      <c r="N515" s="219" t="s">
        <v>498</v>
      </c>
      <c r="O515" s="221">
        <v>16948149.629999999</v>
      </c>
      <c r="P515" s="221">
        <v>0</v>
      </c>
      <c r="Q515" s="221">
        <v>0</v>
      </c>
      <c r="R515" s="221">
        <v>0</v>
      </c>
      <c r="S515" s="221">
        <f>O515-P515-Q515-R515</f>
        <v>16948149.629999999</v>
      </c>
      <c r="T515" s="221">
        <f t="shared" si="215"/>
        <v>4647.1482396490264</v>
      </c>
      <c r="U515" s="221">
        <v>4673.96</v>
      </c>
      <c r="V515" s="27">
        <f t="shared" si="199"/>
        <v>0</v>
      </c>
    </row>
    <row r="516" spans="2:22" ht="82.5" customHeight="1" x14ac:dyDescent="0.4">
      <c r="B516" s="240" t="s">
        <v>730</v>
      </c>
      <c r="C516" s="241"/>
      <c r="D516" s="241"/>
      <c r="E516" s="241"/>
      <c r="F516" s="241"/>
      <c r="G516" s="241"/>
      <c r="H516" s="241"/>
      <c r="I516" s="241"/>
      <c r="J516" s="241"/>
      <c r="K516" s="241"/>
      <c r="L516" s="241"/>
      <c r="M516" s="241"/>
      <c r="N516" s="241"/>
      <c r="O516" s="241"/>
      <c r="P516" s="241"/>
      <c r="Q516" s="241"/>
      <c r="R516" s="241"/>
      <c r="S516" s="241"/>
      <c r="T516" s="241"/>
      <c r="U516" s="242"/>
      <c r="V516" s="27">
        <f t="shared" si="199"/>
        <v>0</v>
      </c>
    </row>
    <row r="517" spans="2:22" ht="35.25" x14ac:dyDescent="0.5">
      <c r="B517" s="215" t="s">
        <v>731</v>
      </c>
      <c r="C517" s="215"/>
      <c r="D517" s="216" t="s">
        <v>422</v>
      </c>
      <c r="E517" s="216" t="s">
        <v>422</v>
      </c>
      <c r="F517" s="216" t="s">
        <v>422</v>
      </c>
      <c r="G517" s="216" t="s">
        <v>422</v>
      </c>
      <c r="H517" s="216" t="s">
        <v>422</v>
      </c>
      <c r="I517" s="217">
        <f>I518+I525+I529+I532+I534+I541+I544+I547</f>
        <v>30419.169999999995</v>
      </c>
      <c r="J517" s="217">
        <f t="shared" ref="J517:K517" si="230">J518+J525+J529+J532+J534+J541+J544+J547</f>
        <v>26290.030000000002</v>
      </c>
      <c r="K517" s="218">
        <f t="shared" si="230"/>
        <v>1204</v>
      </c>
      <c r="L517" s="216" t="s">
        <v>422</v>
      </c>
      <c r="M517" s="216" t="s">
        <v>422</v>
      </c>
      <c r="N517" s="219" t="s">
        <v>422</v>
      </c>
      <c r="O517" s="221">
        <v>177113005.71000001</v>
      </c>
      <c r="P517" s="221">
        <f t="shared" ref="P517:S517" si="231">P518+P525+P529+P532+P534+P541+P544+P547</f>
        <v>0</v>
      </c>
      <c r="Q517" s="221">
        <f t="shared" si="231"/>
        <v>141327578.48999998</v>
      </c>
      <c r="R517" s="221">
        <f t="shared" si="231"/>
        <v>7994586.3299999991</v>
      </c>
      <c r="S517" s="221">
        <f t="shared" si="231"/>
        <v>27790840.890000001</v>
      </c>
      <c r="T517" s="221">
        <f t="shared" si="215"/>
        <v>5822.4141457508549</v>
      </c>
      <c r="U517" s="221">
        <f>MAX(U518:U548)</f>
        <v>11459.48</v>
      </c>
      <c r="V517" s="27">
        <f t="shared" si="199"/>
        <v>2.9802322387695313E-8</v>
      </c>
    </row>
    <row r="518" spans="2:22" ht="35.25" x14ac:dyDescent="0.5">
      <c r="B518" s="215" t="s">
        <v>413</v>
      </c>
      <c r="C518" s="215"/>
      <c r="D518" s="216" t="s">
        <v>422</v>
      </c>
      <c r="E518" s="216" t="s">
        <v>422</v>
      </c>
      <c r="F518" s="216" t="s">
        <v>422</v>
      </c>
      <c r="G518" s="216" t="s">
        <v>422</v>
      </c>
      <c r="H518" s="216" t="s">
        <v>422</v>
      </c>
      <c r="I518" s="217">
        <f>SUM(I519:I524)</f>
        <v>9654.5</v>
      </c>
      <c r="J518" s="217">
        <f t="shared" ref="J518:K518" si="232">SUM(J519:J524)</f>
        <v>8172.66</v>
      </c>
      <c r="K518" s="218">
        <f t="shared" si="232"/>
        <v>407</v>
      </c>
      <c r="L518" s="216" t="s">
        <v>422</v>
      </c>
      <c r="M518" s="216" t="s">
        <v>422</v>
      </c>
      <c r="N518" s="219" t="s">
        <v>422</v>
      </c>
      <c r="O518" s="221">
        <v>50953864.619999997</v>
      </c>
      <c r="P518" s="221">
        <f t="shared" ref="P518:S518" si="233">SUM(P519:P524)</f>
        <v>0</v>
      </c>
      <c r="Q518" s="221">
        <f>SUM(Q519:Q524)</f>
        <v>39192282.599999994</v>
      </c>
      <c r="R518" s="221">
        <f t="shared" si="233"/>
        <v>2062751.7200000002</v>
      </c>
      <c r="S518" s="221">
        <f t="shared" si="233"/>
        <v>9698830.3000000007</v>
      </c>
      <c r="T518" s="221">
        <f t="shared" si="215"/>
        <v>5277.7321062716865</v>
      </c>
      <c r="U518" s="221">
        <f>MAX(U519:U524)</f>
        <v>11388.91</v>
      </c>
      <c r="V518" s="27">
        <f t="shared" si="199"/>
        <v>0</v>
      </c>
    </row>
    <row r="519" spans="2:22" ht="35.25" x14ac:dyDescent="0.5">
      <c r="B519" s="223">
        <v>1</v>
      </c>
      <c r="C519" s="225" t="s">
        <v>720</v>
      </c>
      <c r="D519" s="216"/>
      <c r="E519" s="216">
        <v>1935</v>
      </c>
      <c r="F519" s="216" t="s">
        <v>419</v>
      </c>
      <c r="G519" s="216">
        <v>4</v>
      </c>
      <c r="H519" s="216">
        <v>8</v>
      </c>
      <c r="I519" s="217">
        <v>3834.2</v>
      </c>
      <c r="J519" s="217">
        <v>3479.46</v>
      </c>
      <c r="K519" s="218">
        <v>168</v>
      </c>
      <c r="L519" s="216" t="s">
        <v>417</v>
      </c>
      <c r="M519" s="216" t="s">
        <v>423</v>
      </c>
      <c r="N519" s="219" t="s">
        <v>732</v>
      </c>
      <c r="O519" s="221">
        <v>16256177.220000001</v>
      </c>
      <c r="P519" s="221">
        <v>0</v>
      </c>
      <c r="Q519" s="221">
        <v>11830450.18</v>
      </c>
      <c r="R519" s="221">
        <v>622655.27</v>
      </c>
      <c r="S519" s="221">
        <f>O519-P519-Q519-R519</f>
        <v>3803071.7700000009</v>
      </c>
      <c r="T519" s="221">
        <f t="shared" si="215"/>
        <v>4239.783323770278</v>
      </c>
      <c r="U519" s="221">
        <v>4850.9399999999996</v>
      </c>
      <c r="V519" s="27">
        <f t="shared" si="199"/>
        <v>0</v>
      </c>
    </row>
    <row r="520" spans="2:22" ht="35.25" x14ac:dyDescent="0.5">
      <c r="B520" s="223">
        <v>2</v>
      </c>
      <c r="C520" s="225" t="s">
        <v>721</v>
      </c>
      <c r="D520" s="216"/>
      <c r="E520" s="216">
        <v>1957</v>
      </c>
      <c r="F520" s="216" t="s">
        <v>419</v>
      </c>
      <c r="G520" s="216">
        <v>4</v>
      </c>
      <c r="H520" s="216">
        <v>3</v>
      </c>
      <c r="I520" s="217">
        <v>3035.2</v>
      </c>
      <c r="J520" s="217">
        <v>2144.5</v>
      </c>
      <c r="K520" s="218">
        <v>81</v>
      </c>
      <c r="L520" s="216" t="s">
        <v>417</v>
      </c>
      <c r="M520" s="216" t="s">
        <v>423</v>
      </c>
      <c r="N520" s="219" t="s">
        <v>549</v>
      </c>
      <c r="O520" s="221">
        <v>11171729.619999999</v>
      </c>
      <c r="P520" s="221">
        <v>0</v>
      </c>
      <c r="Q520" s="221">
        <v>7790600.7300000004</v>
      </c>
      <c r="R520" s="221">
        <v>410031.62</v>
      </c>
      <c r="S520" s="221">
        <f t="shared" ref="S520:S524" si="234">O520-P520-Q520-R520</f>
        <v>2971097.2699999986</v>
      </c>
      <c r="T520" s="221">
        <f t="shared" si="215"/>
        <v>3680.7227266736954</v>
      </c>
      <c r="U520" s="221">
        <v>5006.37</v>
      </c>
      <c r="V520" s="27">
        <f t="shared" si="199"/>
        <v>0</v>
      </c>
    </row>
    <row r="521" spans="2:22" ht="35.25" x14ac:dyDescent="0.5">
      <c r="B521" s="223">
        <v>3</v>
      </c>
      <c r="C521" s="225" t="s">
        <v>722</v>
      </c>
      <c r="D521" s="216"/>
      <c r="E521" s="216">
        <v>1964</v>
      </c>
      <c r="F521" s="216" t="s">
        <v>419</v>
      </c>
      <c r="G521" s="216">
        <v>2</v>
      </c>
      <c r="H521" s="216">
        <v>2</v>
      </c>
      <c r="I521" s="217">
        <v>677.7</v>
      </c>
      <c r="J521" s="217">
        <v>581.20000000000005</v>
      </c>
      <c r="K521" s="218">
        <v>38</v>
      </c>
      <c r="L521" s="216" t="s">
        <v>417</v>
      </c>
      <c r="M521" s="216" t="s">
        <v>424</v>
      </c>
      <c r="N521" s="219" t="s">
        <v>425</v>
      </c>
      <c r="O521" s="221">
        <v>7074895.2399999993</v>
      </c>
      <c r="P521" s="221">
        <v>0</v>
      </c>
      <c r="Q521" s="221">
        <v>6043950.5199999996</v>
      </c>
      <c r="R521" s="221">
        <v>318102.65999999997</v>
      </c>
      <c r="S521" s="221">
        <f t="shared" si="234"/>
        <v>712842.05999999982</v>
      </c>
      <c r="T521" s="221">
        <f t="shared" si="215"/>
        <v>10439.568009443705</v>
      </c>
      <c r="U521" s="221">
        <v>11388.91</v>
      </c>
      <c r="V521" s="27">
        <f t="shared" si="199"/>
        <v>0</v>
      </c>
    </row>
    <row r="522" spans="2:22" ht="35.25" x14ac:dyDescent="0.5">
      <c r="B522" s="223">
        <v>4</v>
      </c>
      <c r="C522" s="225" t="s">
        <v>723</v>
      </c>
      <c r="D522" s="216"/>
      <c r="E522" s="216">
        <v>1964</v>
      </c>
      <c r="F522" s="216" t="s">
        <v>419</v>
      </c>
      <c r="G522" s="216">
        <v>2</v>
      </c>
      <c r="H522" s="216">
        <v>2</v>
      </c>
      <c r="I522" s="217">
        <v>692.9</v>
      </c>
      <c r="J522" s="217">
        <v>692.9</v>
      </c>
      <c r="K522" s="218">
        <v>42</v>
      </c>
      <c r="L522" s="216" t="s">
        <v>417</v>
      </c>
      <c r="M522" s="216" t="s">
        <v>424</v>
      </c>
      <c r="N522" s="219" t="s">
        <v>425</v>
      </c>
      <c r="O522" s="221">
        <v>6156163.1500000004</v>
      </c>
      <c r="P522" s="221">
        <v>0</v>
      </c>
      <c r="Q522" s="221">
        <v>5072721.25</v>
      </c>
      <c r="R522" s="221">
        <v>266985.33</v>
      </c>
      <c r="S522" s="221">
        <f t="shared" si="234"/>
        <v>816456.5700000003</v>
      </c>
      <c r="T522" s="221">
        <f t="shared" si="215"/>
        <v>8884.6343628229188</v>
      </c>
      <c r="U522" s="221">
        <v>10662.73</v>
      </c>
      <c r="V522" s="27">
        <f t="shared" si="199"/>
        <v>0</v>
      </c>
    </row>
    <row r="523" spans="2:22" ht="35.25" x14ac:dyDescent="0.5">
      <c r="B523" s="223">
        <v>5</v>
      </c>
      <c r="C523" s="225" t="s">
        <v>758</v>
      </c>
      <c r="D523" s="216"/>
      <c r="E523" s="216">
        <v>1961</v>
      </c>
      <c r="F523" s="216" t="s">
        <v>419</v>
      </c>
      <c r="G523" s="216">
        <v>3</v>
      </c>
      <c r="H523" s="216">
        <v>2</v>
      </c>
      <c r="I523" s="217">
        <v>895.7</v>
      </c>
      <c r="J523" s="217">
        <v>822.8</v>
      </c>
      <c r="K523" s="218">
        <v>62</v>
      </c>
      <c r="L523" s="216" t="s">
        <v>417</v>
      </c>
      <c r="M523" s="216" t="s">
        <v>424</v>
      </c>
      <c r="N523" s="219" t="s">
        <v>425</v>
      </c>
      <c r="O523" s="221">
        <v>5020673.3599999994</v>
      </c>
      <c r="P523" s="221">
        <v>0</v>
      </c>
      <c r="Q523" s="221">
        <v>3964691.5599999982</v>
      </c>
      <c r="R523" s="221">
        <v>208667.98</v>
      </c>
      <c r="S523" s="221">
        <f t="shared" si="234"/>
        <v>847313.82000000123</v>
      </c>
      <c r="T523" s="221">
        <f t="shared" si="215"/>
        <v>5605.3068661382149</v>
      </c>
      <c r="U523" s="221">
        <v>7284.78</v>
      </c>
      <c r="V523" s="27">
        <f t="shared" si="199"/>
        <v>0</v>
      </c>
    </row>
    <row r="524" spans="2:22" ht="35.25" x14ac:dyDescent="0.5">
      <c r="B524" s="223">
        <v>6</v>
      </c>
      <c r="C524" s="225" t="s">
        <v>771</v>
      </c>
      <c r="D524" s="216"/>
      <c r="E524" s="216">
        <v>1970</v>
      </c>
      <c r="F524" s="216" t="s">
        <v>419</v>
      </c>
      <c r="G524" s="216">
        <v>2</v>
      </c>
      <c r="H524" s="216">
        <v>2</v>
      </c>
      <c r="I524" s="217">
        <v>518.79999999999995</v>
      </c>
      <c r="J524" s="217">
        <v>451.8</v>
      </c>
      <c r="K524" s="218">
        <v>16</v>
      </c>
      <c r="L524" s="216" t="s">
        <v>417</v>
      </c>
      <c r="M524" s="216" t="s">
        <v>423</v>
      </c>
      <c r="N524" s="219" t="s">
        <v>585</v>
      </c>
      <c r="O524" s="221">
        <v>5274226.03</v>
      </c>
      <c r="P524" s="221">
        <v>0</v>
      </c>
      <c r="Q524" s="221">
        <v>4489868.3600000003</v>
      </c>
      <c r="R524" s="221">
        <v>236308.86</v>
      </c>
      <c r="S524" s="221">
        <f t="shared" si="234"/>
        <v>548048.80999999994</v>
      </c>
      <c r="T524" s="221">
        <f t="shared" si="215"/>
        <v>10166.202833461837</v>
      </c>
      <c r="U524" s="221">
        <v>10396.870000000001</v>
      </c>
      <c r="V524" s="27">
        <f t="shared" si="199"/>
        <v>0</v>
      </c>
    </row>
    <row r="525" spans="2:22" ht="35.25" x14ac:dyDescent="0.5">
      <c r="B525" s="215" t="s">
        <v>221</v>
      </c>
      <c r="C525" s="215"/>
      <c r="D525" s="216" t="s">
        <v>422</v>
      </c>
      <c r="E525" s="216" t="s">
        <v>422</v>
      </c>
      <c r="F525" s="216" t="s">
        <v>422</v>
      </c>
      <c r="G525" s="216" t="s">
        <v>422</v>
      </c>
      <c r="H525" s="216" t="s">
        <v>422</v>
      </c>
      <c r="I525" s="217">
        <f>I526+I527+I528</f>
        <v>3405.97</v>
      </c>
      <c r="J525" s="217">
        <f t="shared" ref="J525:K525" si="235">J526+J527+J528</f>
        <v>2096.37</v>
      </c>
      <c r="K525" s="218">
        <f t="shared" si="235"/>
        <v>108</v>
      </c>
      <c r="L525" s="216" t="s">
        <v>422</v>
      </c>
      <c r="M525" s="216" t="s">
        <v>422</v>
      </c>
      <c r="N525" s="219" t="s">
        <v>422</v>
      </c>
      <c r="O525" s="221">
        <v>21141288.689999998</v>
      </c>
      <c r="P525" s="221">
        <f t="shared" ref="P525:S525" si="236">P526+P527+P528</f>
        <v>0</v>
      </c>
      <c r="Q525" s="221">
        <f t="shared" si="236"/>
        <v>17665895.969999999</v>
      </c>
      <c r="R525" s="221">
        <f t="shared" si="236"/>
        <v>1041552.0900000001</v>
      </c>
      <c r="S525" s="221">
        <f t="shared" si="236"/>
        <v>2433840.629999999</v>
      </c>
      <c r="T525" s="221">
        <f t="shared" si="215"/>
        <v>6207.1271003561387</v>
      </c>
      <c r="U525" s="221">
        <f>MAX(U526:U528)</f>
        <v>9759.6</v>
      </c>
      <c r="V525" s="27">
        <f t="shared" si="199"/>
        <v>0</v>
      </c>
    </row>
    <row r="526" spans="2:22" ht="35.25" x14ac:dyDescent="0.5">
      <c r="B526" s="223">
        <v>7</v>
      </c>
      <c r="C526" s="225" t="s">
        <v>724</v>
      </c>
      <c r="D526" s="216"/>
      <c r="E526" s="216">
        <v>1990</v>
      </c>
      <c r="F526" s="216" t="s">
        <v>419</v>
      </c>
      <c r="G526" s="216">
        <v>2</v>
      </c>
      <c r="H526" s="216">
        <v>2</v>
      </c>
      <c r="I526" s="217">
        <v>1360.5</v>
      </c>
      <c r="J526" s="217">
        <v>810.07</v>
      </c>
      <c r="K526" s="218">
        <v>48</v>
      </c>
      <c r="L526" s="216" t="s">
        <v>417</v>
      </c>
      <c r="M526" s="216" t="s">
        <v>426</v>
      </c>
      <c r="N526" s="219" t="s">
        <v>733</v>
      </c>
      <c r="O526" s="221">
        <v>9252030.4299999997</v>
      </c>
      <c r="P526" s="221">
        <v>0</v>
      </c>
      <c r="Q526" s="221">
        <v>7819644.0499999989</v>
      </c>
      <c r="R526" s="221">
        <v>444989.99</v>
      </c>
      <c r="S526" s="221">
        <f>O526-P526-Q526-R526</f>
        <v>987396.39000000083</v>
      </c>
      <c r="T526" s="221">
        <f t="shared" si="215"/>
        <v>6800.4633811098856</v>
      </c>
      <c r="U526" s="221">
        <v>7399.3</v>
      </c>
      <c r="V526" s="27">
        <f t="shared" ref="V526:V548" si="237">O526-P526-Q526-R526-S526</f>
        <v>0</v>
      </c>
    </row>
    <row r="527" spans="2:22" ht="35.25" x14ac:dyDescent="0.5">
      <c r="B527" s="223">
        <v>8</v>
      </c>
      <c r="C527" s="225" t="s">
        <v>725</v>
      </c>
      <c r="D527" s="216"/>
      <c r="E527" s="216">
        <v>1964</v>
      </c>
      <c r="F527" s="216" t="s">
        <v>419</v>
      </c>
      <c r="G527" s="216">
        <v>2</v>
      </c>
      <c r="H527" s="216">
        <v>2</v>
      </c>
      <c r="I527" s="217">
        <v>784.1</v>
      </c>
      <c r="J527" s="217">
        <v>729.8</v>
      </c>
      <c r="K527" s="218">
        <v>34</v>
      </c>
      <c r="L527" s="216" t="s">
        <v>417</v>
      </c>
      <c r="M527" s="216" t="s">
        <v>426</v>
      </c>
      <c r="N527" s="219" t="s">
        <v>734</v>
      </c>
      <c r="O527" s="221">
        <v>7021399.1699999999</v>
      </c>
      <c r="P527" s="221">
        <v>0</v>
      </c>
      <c r="Q527" s="221">
        <v>5820580.1300000018</v>
      </c>
      <c r="R527" s="221">
        <v>330358.3</v>
      </c>
      <c r="S527" s="221">
        <f t="shared" ref="S527:S528" si="238">O527-P527-Q527-R527</f>
        <v>870460.73999999813</v>
      </c>
      <c r="T527" s="221">
        <f t="shared" si="215"/>
        <v>8954.7241040683584</v>
      </c>
      <c r="U527" s="221">
        <v>9759.6</v>
      </c>
      <c r="V527" s="27">
        <f t="shared" si="237"/>
        <v>0</v>
      </c>
    </row>
    <row r="528" spans="2:22" ht="35.25" x14ac:dyDescent="0.5">
      <c r="B528" s="223">
        <v>9</v>
      </c>
      <c r="C528" s="225" t="s">
        <v>726</v>
      </c>
      <c r="D528" s="216"/>
      <c r="E528" s="216">
        <v>1982</v>
      </c>
      <c r="F528" s="216" t="s">
        <v>420</v>
      </c>
      <c r="G528" s="216">
        <v>2</v>
      </c>
      <c r="H528" s="216">
        <v>2</v>
      </c>
      <c r="I528" s="217">
        <v>1261.3699999999999</v>
      </c>
      <c r="J528" s="217">
        <v>556.5</v>
      </c>
      <c r="K528" s="218">
        <v>26</v>
      </c>
      <c r="L528" s="216" t="s">
        <v>417</v>
      </c>
      <c r="M528" s="216" t="s">
        <v>424</v>
      </c>
      <c r="N528" s="219" t="s">
        <v>425</v>
      </c>
      <c r="O528" s="221">
        <v>4867859.09</v>
      </c>
      <c r="P528" s="221">
        <v>0</v>
      </c>
      <c r="Q528" s="221">
        <v>4025671.79</v>
      </c>
      <c r="R528" s="221">
        <v>266203.8</v>
      </c>
      <c r="S528" s="221">
        <f t="shared" si="238"/>
        <v>575983.49999999977</v>
      </c>
      <c r="T528" s="221">
        <f t="shared" si="215"/>
        <v>3859.1841331250944</v>
      </c>
      <c r="U528" s="221">
        <v>4803.58</v>
      </c>
      <c r="V528" s="27">
        <f t="shared" si="237"/>
        <v>0</v>
      </c>
    </row>
    <row r="529" spans="2:22" ht="35.25" x14ac:dyDescent="0.5">
      <c r="B529" s="215" t="s">
        <v>688</v>
      </c>
      <c r="C529" s="215"/>
      <c r="D529" s="216" t="s">
        <v>422</v>
      </c>
      <c r="E529" s="216" t="s">
        <v>422</v>
      </c>
      <c r="F529" s="216" t="s">
        <v>422</v>
      </c>
      <c r="G529" s="216" t="s">
        <v>422</v>
      </c>
      <c r="H529" s="216" t="s">
        <v>422</v>
      </c>
      <c r="I529" s="217">
        <f>I530+I531</f>
        <v>2275.6999999999998</v>
      </c>
      <c r="J529" s="217">
        <f t="shared" ref="J529:K529" si="239">J530+J531</f>
        <v>2048.1</v>
      </c>
      <c r="K529" s="218">
        <f t="shared" si="239"/>
        <v>80</v>
      </c>
      <c r="L529" s="216" t="s">
        <v>422</v>
      </c>
      <c r="M529" s="216" t="s">
        <v>422</v>
      </c>
      <c r="N529" s="219" t="s">
        <v>422</v>
      </c>
      <c r="O529" s="221">
        <v>17085646.080000002</v>
      </c>
      <c r="P529" s="221">
        <f t="shared" ref="P529:S529" si="240">P530+P531</f>
        <v>0</v>
      </c>
      <c r="Q529" s="221">
        <f t="shared" si="240"/>
        <v>13964901.360000001</v>
      </c>
      <c r="R529" s="221">
        <f t="shared" si="240"/>
        <v>1011942.8400000001</v>
      </c>
      <c r="S529" s="221">
        <f t="shared" si="240"/>
        <v>2108801.88</v>
      </c>
      <c r="T529" s="221">
        <f t="shared" si="215"/>
        <v>7507.8639891022558</v>
      </c>
      <c r="U529" s="221">
        <f>MAX(U530:U531)</f>
        <v>10602.31</v>
      </c>
      <c r="V529" s="27">
        <f t="shared" si="237"/>
        <v>0</v>
      </c>
    </row>
    <row r="530" spans="2:22" ht="35.25" x14ac:dyDescent="0.5">
      <c r="B530" s="223">
        <v>10</v>
      </c>
      <c r="C530" s="225" t="s">
        <v>727</v>
      </c>
      <c r="D530" s="216"/>
      <c r="E530" s="216">
        <v>1981</v>
      </c>
      <c r="F530" s="216" t="s">
        <v>420</v>
      </c>
      <c r="G530" s="216">
        <v>2</v>
      </c>
      <c r="H530" s="216">
        <v>4</v>
      </c>
      <c r="I530" s="217">
        <v>1305.5</v>
      </c>
      <c r="J530" s="217">
        <v>1165.8</v>
      </c>
      <c r="K530" s="218">
        <v>54</v>
      </c>
      <c r="L530" s="216" t="s">
        <v>417</v>
      </c>
      <c r="M530" s="216" t="s">
        <v>424</v>
      </c>
      <c r="N530" s="219" t="s">
        <v>425</v>
      </c>
      <c r="O530" s="221">
        <v>9711931.5600000005</v>
      </c>
      <c r="P530" s="221">
        <v>0</v>
      </c>
      <c r="Q530" s="221">
        <v>7899935.0100000016</v>
      </c>
      <c r="R530" s="221">
        <v>576950.54</v>
      </c>
      <c r="S530" s="221">
        <f>O530-P530-Q530-R530</f>
        <v>1235046.0099999988</v>
      </c>
      <c r="T530" s="221">
        <f t="shared" si="215"/>
        <v>7439.242864802758</v>
      </c>
      <c r="U530" s="221">
        <v>10377.31</v>
      </c>
      <c r="V530" s="27">
        <f t="shared" si="237"/>
        <v>0</v>
      </c>
    </row>
    <row r="531" spans="2:22" ht="35.25" x14ac:dyDescent="0.5">
      <c r="B531" s="223">
        <v>11</v>
      </c>
      <c r="C531" s="225" t="s">
        <v>728</v>
      </c>
      <c r="D531" s="216"/>
      <c r="E531" s="216">
        <v>1978</v>
      </c>
      <c r="F531" s="216" t="s">
        <v>419</v>
      </c>
      <c r="G531" s="216">
        <v>2</v>
      </c>
      <c r="H531" s="216">
        <v>3</v>
      </c>
      <c r="I531" s="217">
        <v>970.2</v>
      </c>
      <c r="J531" s="217">
        <v>882.3</v>
      </c>
      <c r="K531" s="218">
        <v>26</v>
      </c>
      <c r="L531" s="216" t="s">
        <v>417</v>
      </c>
      <c r="M531" s="216" t="s">
        <v>424</v>
      </c>
      <c r="N531" s="219" t="s">
        <v>425</v>
      </c>
      <c r="O531" s="221">
        <v>7373714.5200000005</v>
      </c>
      <c r="P531" s="221">
        <v>0</v>
      </c>
      <c r="Q531" s="221">
        <v>6064966.3499999996</v>
      </c>
      <c r="R531" s="221">
        <v>434992.3</v>
      </c>
      <c r="S531" s="221">
        <f>O531-P531-Q531-R531</f>
        <v>873755.87000000081</v>
      </c>
      <c r="T531" s="221">
        <f t="shared" si="215"/>
        <v>7600.2004947433525</v>
      </c>
      <c r="U531" s="221">
        <v>10602.31</v>
      </c>
      <c r="V531" s="27">
        <f t="shared" si="237"/>
        <v>0</v>
      </c>
    </row>
    <row r="532" spans="2:22" ht="35.25" x14ac:dyDescent="0.5">
      <c r="B532" s="215" t="s">
        <v>689</v>
      </c>
      <c r="C532" s="215"/>
      <c r="D532" s="216" t="s">
        <v>422</v>
      </c>
      <c r="E532" s="216" t="s">
        <v>422</v>
      </c>
      <c r="F532" s="216" t="s">
        <v>422</v>
      </c>
      <c r="G532" s="216" t="s">
        <v>422</v>
      </c>
      <c r="H532" s="216" t="s">
        <v>422</v>
      </c>
      <c r="I532" s="217">
        <f>I533</f>
        <v>923.6</v>
      </c>
      <c r="J532" s="217">
        <f t="shared" ref="J532:K532" si="241">J533</f>
        <v>840.3</v>
      </c>
      <c r="K532" s="218">
        <f t="shared" si="241"/>
        <v>47</v>
      </c>
      <c r="L532" s="216" t="s">
        <v>422</v>
      </c>
      <c r="M532" s="216" t="s">
        <v>422</v>
      </c>
      <c r="N532" s="219" t="s">
        <v>422</v>
      </c>
      <c r="O532" s="221">
        <v>3670648.0599999996</v>
      </c>
      <c r="P532" s="221">
        <f t="shared" ref="P532:S532" si="242">P533</f>
        <v>0</v>
      </c>
      <c r="Q532" s="221">
        <f t="shared" si="242"/>
        <v>2725866.2999999989</v>
      </c>
      <c r="R532" s="221">
        <f t="shared" si="242"/>
        <v>179721.31</v>
      </c>
      <c r="S532" s="221">
        <f t="shared" si="242"/>
        <v>765060.45000000065</v>
      </c>
      <c r="T532" s="221">
        <f t="shared" si="215"/>
        <v>3974.2833044608051</v>
      </c>
      <c r="U532" s="221">
        <f>U533</f>
        <v>9971.84</v>
      </c>
      <c r="V532" s="27">
        <f t="shared" si="237"/>
        <v>0</v>
      </c>
    </row>
    <row r="533" spans="2:22" ht="35.25" x14ac:dyDescent="0.5">
      <c r="B533" s="223">
        <v>12</v>
      </c>
      <c r="C533" s="225" t="s">
        <v>729</v>
      </c>
      <c r="D533" s="216"/>
      <c r="E533" s="216">
        <v>1982</v>
      </c>
      <c r="F533" s="216" t="s">
        <v>419</v>
      </c>
      <c r="G533" s="216">
        <v>2</v>
      </c>
      <c r="H533" s="216">
        <v>3</v>
      </c>
      <c r="I533" s="217">
        <v>923.6</v>
      </c>
      <c r="J533" s="217">
        <v>840.3</v>
      </c>
      <c r="K533" s="218">
        <v>47</v>
      </c>
      <c r="L533" s="216" t="s">
        <v>417</v>
      </c>
      <c r="M533" s="216" t="s">
        <v>423</v>
      </c>
      <c r="N533" s="219" t="s">
        <v>673</v>
      </c>
      <c r="O533" s="221">
        <v>3670648.0599999996</v>
      </c>
      <c r="P533" s="221">
        <v>0</v>
      </c>
      <c r="Q533" s="221">
        <v>2725866.2999999989</v>
      </c>
      <c r="R533" s="221">
        <v>179721.31</v>
      </c>
      <c r="S533" s="221">
        <f>O533-P533-Q533-R533</f>
        <v>765060.45000000065</v>
      </c>
      <c r="T533" s="221">
        <f t="shared" si="215"/>
        <v>3974.2833044608051</v>
      </c>
      <c r="U533" s="221">
        <v>9971.84</v>
      </c>
      <c r="V533" s="27">
        <f t="shared" si="237"/>
        <v>0</v>
      </c>
    </row>
    <row r="534" spans="2:22" ht="35.25" x14ac:dyDescent="0.5">
      <c r="B534" s="215" t="s">
        <v>696</v>
      </c>
      <c r="C534" s="215"/>
      <c r="D534" s="216" t="s">
        <v>422</v>
      </c>
      <c r="E534" s="216" t="s">
        <v>422</v>
      </c>
      <c r="F534" s="216" t="s">
        <v>422</v>
      </c>
      <c r="G534" s="216" t="s">
        <v>422</v>
      </c>
      <c r="H534" s="216" t="s">
        <v>422</v>
      </c>
      <c r="I534" s="217">
        <f>SUM(I535:I540)</f>
        <v>7156.4999999999991</v>
      </c>
      <c r="J534" s="217">
        <f t="shared" ref="J534:K534" si="243">SUM(J535:J540)</f>
        <v>6438.8</v>
      </c>
      <c r="K534" s="218">
        <f t="shared" si="243"/>
        <v>316</v>
      </c>
      <c r="L534" s="216" t="s">
        <v>422</v>
      </c>
      <c r="M534" s="216" t="s">
        <v>422</v>
      </c>
      <c r="N534" s="219" t="s">
        <v>422</v>
      </c>
      <c r="O534" s="221">
        <v>39161299.740000002</v>
      </c>
      <c r="P534" s="221">
        <f t="shared" ref="P534:S534" si="244">SUM(P535:P540)</f>
        <v>0</v>
      </c>
      <c r="Q534" s="221">
        <f t="shared" si="244"/>
        <v>30021403.599999994</v>
      </c>
      <c r="R534" s="221">
        <f t="shared" si="244"/>
        <v>1711395.81</v>
      </c>
      <c r="S534" s="221">
        <f t="shared" si="244"/>
        <v>7428500.330000001</v>
      </c>
      <c r="T534" s="221">
        <f t="shared" si="215"/>
        <v>5472.1301949276894</v>
      </c>
      <c r="U534" s="221">
        <f>MAX(U535:U540)</f>
        <v>10851.248161611966</v>
      </c>
      <c r="V534" s="27">
        <f t="shared" si="237"/>
        <v>0</v>
      </c>
    </row>
    <row r="535" spans="2:22" ht="35.25" x14ac:dyDescent="0.5">
      <c r="B535" s="223">
        <v>13</v>
      </c>
      <c r="C535" s="225" t="s">
        <v>759</v>
      </c>
      <c r="D535" s="216"/>
      <c r="E535" s="216">
        <v>1984</v>
      </c>
      <c r="F535" s="216" t="s">
        <v>419</v>
      </c>
      <c r="G535" s="216">
        <v>2</v>
      </c>
      <c r="H535" s="216">
        <v>3</v>
      </c>
      <c r="I535" s="217">
        <v>934.3</v>
      </c>
      <c r="J535" s="217">
        <v>840.1</v>
      </c>
      <c r="K535" s="218">
        <v>45</v>
      </c>
      <c r="L535" s="216" t="s">
        <v>417</v>
      </c>
      <c r="M535" s="216" t="s">
        <v>423</v>
      </c>
      <c r="N535" s="219" t="s">
        <v>449</v>
      </c>
      <c r="O535" s="221">
        <v>6840956.6600000001</v>
      </c>
      <c r="P535" s="221">
        <v>0</v>
      </c>
      <c r="Q535" s="221">
        <v>5527452.29</v>
      </c>
      <c r="R535" s="221">
        <v>316083.95</v>
      </c>
      <c r="S535" s="221">
        <f>O535-P535-Q535-R535</f>
        <v>997420.42000000016</v>
      </c>
      <c r="T535" s="221">
        <f t="shared" si="215"/>
        <v>7322.0129080595107</v>
      </c>
      <c r="U535" s="221">
        <v>9549.0759156587828</v>
      </c>
      <c r="V535" s="27">
        <f t="shared" si="237"/>
        <v>0</v>
      </c>
    </row>
    <row r="536" spans="2:22" ht="35.25" x14ac:dyDescent="0.5">
      <c r="B536" s="223">
        <v>14</v>
      </c>
      <c r="C536" s="225" t="s">
        <v>760</v>
      </c>
      <c r="D536" s="216"/>
      <c r="E536" s="216">
        <v>1979</v>
      </c>
      <c r="F536" s="216" t="s">
        <v>419</v>
      </c>
      <c r="G536" s="216">
        <v>2</v>
      </c>
      <c r="H536" s="216">
        <v>3</v>
      </c>
      <c r="I536" s="217">
        <v>936.4</v>
      </c>
      <c r="J536" s="217">
        <v>839.1</v>
      </c>
      <c r="K536" s="218">
        <v>32</v>
      </c>
      <c r="L536" s="216" t="s">
        <v>417</v>
      </c>
      <c r="M536" s="216" t="s">
        <v>423</v>
      </c>
      <c r="N536" s="219" t="s">
        <v>449</v>
      </c>
      <c r="O536" s="221">
        <v>7140289.8900000006</v>
      </c>
      <c r="P536" s="221">
        <v>0</v>
      </c>
      <c r="Q536" s="221">
        <v>5825548.6200000001</v>
      </c>
      <c r="R536" s="221">
        <v>332541.65999999997</v>
      </c>
      <c r="S536" s="221">
        <f t="shared" ref="S536:S546" si="245">O536-P536-Q536-R536</f>
        <v>982199.61000000057</v>
      </c>
      <c r="T536" s="221">
        <f t="shared" si="215"/>
        <v>7625.25618325502</v>
      </c>
      <c r="U536" s="221">
        <v>9956.0531225971808</v>
      </c>
      <c r="V536" s="27">
        <f t="shared" si="237"/>
        <v>0</v>
      </c>
    </row>
    <row r="537" spans="2:22" ht="35.25" x14ac:dyDescent="0.5">
      <c r="B537" s="223">
        <v>15</v>
      </c>
      <c r="C537" s="225" t="s">
        <v>761</v>
      </c>
      <c r="D537" s="216"/>
      <c r="E537" s="216">
        <v>1977</v>
      </c>
      <c r="F537" s="216" t="s">
        <v>419</v>
      </c>
      <c r="G537" s="216">
        <v>3</v>
      </c>
      <c r="H537" s="216">
        <v>2</v>
      </c>
      <c r="I537" s="217">
        <v>1190.5999999999999</v>
      </c>
      <c r="J537" s="217">
        <v>1078.7</v>
      </c>
      <c r="K537" s="218">
        <v>60</v>
      </c>
      <c r="L537" s="216" t="s">
        <v>417</v>
      </c>
      <c r="M537" s="216" t="s">
        <v>424</v>
      </c>
      <c r="N537" s="219" t="s">
        <v>425</v>
      </c>
      <c r="O537" s="221">
        <v>6347063.4299999997</v>
      </c>
      <c r="P537" s="221">
        <v>0</v>
      </c>
      <c r="Q537" s="221">
        <v>4821055.47</v>
      </c>
      <c r="R537" s="221">
        <v>275268.87</v>
      </c>
      <c r="S537" s="221">
        <f t="shared" si="245"/>
        <v>1250739.0899999999</v>
      </c>
      <c r="T537" s="221">
        <f t="shared" si="215"/>
        <v>5330.9788593986223</v>
      </c>
      <c r="U537" s="221">
        <v>6456.0102511338819</v>
      </c>
      <c r="V537" s="27">
        <f t="shared" si="237"/>
        <v>0</v>
      </c>
    </row>
    <row r="538" spans="2:22" ht="35.25" x14ac:dyDescent="0.5">
      <c r="B538" s="223">
        <v>16</v>
      </c>
      <c r="C538" s="225" t="s">
        <v>762</v>
      </c>
      <c r="D538" s="216"/>
      <c r="E538" s="216">
        <v>1977</v>
      </c>
      <c r="F538" s="216" t="s">
        <v>419</v>
      </c>
      <c r="G538" s="216">
        <v>2</v>
      </c>
      <c r="H538" s="216">
        <v>3</v>
      </c>
      <c r="I538" s="217">
        <v>962.8</v>
      </c>
      <c r="J538" s="217">
        <v>870</v>
      </c>
      <c r="K538" s="218">
        <v>47</v>
      </c>
      <c r="L538" s="216" t="s">
        <v>417</v>
      </c>
      <c r="M538" s="216" t="s">
        <v>423</v>
      </c>
      <c r="N538" s="219" t="s">
        <v>449</v>
      </c>
      <c r="O538" s="221">
        <v>8257360.2400000002</v>
      </c>
      <c r="P538" s="221">
        <v>0</v>
      </c>
      <c r="Q538" s="221">
        <v>6821431.5299999993</v>
      </c>
      <c r="R538" s="221">
        <v>389088.61</v>
      </c>
      <c r="S538" s="221">
        <f t="shared" si="245"/>
        <v>1046840.1000000009</v>
      </c>
      <c r="T538" s="221">
        <f t="shared" si="215"/>
        <v>8576.4024096385547</v>
      </c>
      <c r="U538" s="221">
        <v>10851.248161611966</v>
      </c>
      <c r="V538" s="27">
        <f t="shared" si="237"/>
        <v>0</v>
      </c>
    </row>
    <row r="539" spans="2:22" ht="35.25" x14ac:dyDescent="0.5">
      <c r="B539" s="223">
        <v>17</v>
      </c>
      <c r="C539" s="225" t="s">
        <v>763</v>
      </c>
      <c r="D539" s="216"/>
      <c r="E539" s="216">
        <v>1991</v>
      </c>
      <c r="F539" s="216" t="s">
        <v>419</v>
      </c>
      <c r="G539" s="216">
        <v>3</v>
      </c>
      <c r="H539" s="216">
        <v>2</v>
      </c>
      <c r="I539" s="217">
        <v>1437.7</v>
      </c>
      <c r="J539" s="217">
        <v>1273.0999999999999</v>
      </c>
      <c r="K539" s="218">
        <v>62</v>
      </c>
      <c r="L539" s="216" t="s">
        <v>417</v>
      </c>
      <c r="M539" s="216" t="s">
        <v>423</v>
      </c>
      <c r="N539" s="219" t="s">
        <v>449</v>
      </c>
      <c r="O539" s="221">
        <v>5552060.6400000006</v>
      </c>
      <c r="P539" s="221">
        <v>0</v>
      </c>
      <c r="Q539" s="221">
        <v>3890413.7000000007</v>
      </c>
      <c r="R539" s="221">
        <v>213344.34</v>
      </c>
      <c r="S539" s="221">
        <f t="shared" si="245"/>
        <v>1448302.5999999999</v>
      </c>
      <c r="T539" s="221">
        <f t="shared" si="215"/>
        <v>3861.7657647631636</v>
      </c>
      <c r="U539" s="221">
        <v>6172.8677338805028</v>
      </c>
      <c r="V539" s="27">
        <f t="shared" si="237"/>
        <v>0</v>
      </c>
    </row>
    <row r="540" spans="2:22" ht="35.25" x14ac:dyDescent="0.5">
      <c r="B540" s="223">
        <v>18</v>
      </c>
      <c r="C540" s="225" t="s">
        <v>764</v>
      </c>
      <c r="D540" s="216"/>
      <c r="E540" s="216">
        <v>1999</v>
      </c>
      <c r="F540" s="216" t="s">
        <v>419</v>
      </c>
      <c r="G540" s="216">
        <v>3</v>
      </c>
      <c r="H540" s="216">
        <v>3</v>
      </c>
      <c r="I540" s="217">
        <v>1694.7</v>
      </c>
      <c r="J540" s="217">
        <v>1537.8</v>
      </c>
      <c r="K540" s="218">
        <v>70</v>
      </c>
      <c r="L540" s="216" t="s">
        <v>417</v>
      </c>
      <c r="M540" s="216" t="s">
        <v>423</v>
      </c>
      <c r="N540" s="219" t="s">
        <v>449</v>
      </c>
      <c r="O540" s="221">
        <v>5023568.88</v>
      </c>
      <c r="P540" s="221">
        <v>0</v>
      </c>
      <c r="Q540" s="221">
        <v>3135501.99</v>
      </c>
      <c r="R540" s="221">
        <v>185068.38</v>
      </c>
      <c r="S540" s="221">
        <f t="shared" si="245"/>
        <v>1702998.5099999998</v>
      </c>
      <c r="T540" s="221">
        <f t="shared" si="215"/>
        <v>2964.2821030270843</v>
      </c>
      <c r="U540" s="221">
        <v>5616.5360228949066</v>
      </c>
      <c r="V540" s="27">
        <f t="shared" si="237"/>
        <v>0</v>
      </c>
    </row>
    <row r="541" spans="2:22" ht="35.25" x14ac:dyDescent="0.5">
      <c r="B541" s="215" t="s">
        <v>693</v>
      </c>
      <c r="C541" s="215"/>
      <c r="D541" s="216" t="s">
        <v>422</v>
      </c>
      <c r="E541" s="216" t="s">
        <v>422</v>
      </c>
      <c r="F541" s="216" t="s">
        <v>422</v>
      </c>
      <c r="G541" s="216" t="s">
        <v>422</v>
      </c>
      <c r="H541" s="216" t="s">
        <v>422</v>
      </c>
      <c r="I541" s="217">
        <f>I542+I543</f>
        <v>1675.6</v>
      </c>
      <c r="J541" s="217">
        <f t="shared" ref="J541:K541" si="246">J542+J543</f>
        <v>1546.9</v>
      </c>
      <c r="K541" s="218">
        <f t="shared" si="246"/>
        <v>67</v>
      </c>
      <c r="L541" s="216" t="s">
        <v>422</v>
      </c>
      <c r="M541" s="216" t="s">
        <v>422</v>
      </c>
      <c r="N541" s="219" t="s">
        <v>422</v>
      </c>
      <c r="O541" s="221">
        <v>14462598.57</v>
      </c>
      <c r="P541" s="221">
        <f t="shared" ref="P541:S541" si="247">P542+P543</f>
        <v>0</v>
      </c>
      <c r="Q541" s="221">
        <f t="shared" si="247"/>
        <v>11997733.09</v>
      </c>
      <c r="R541" s="221">
        <f t="shared" si="247"/>
        <v>631459.64</v>
      </c>
      <c r="S541" s="221">
        <f t="shared" si="247"/>
        <v>1833405.8399999994</v>
      </c>
      <c r="T541" s="221">
        <f t="shared" si="215"/>
        <v>8631.2953986631655</v>
      </c>
      <c r="U541" s="221">
        <f>MAX(U542:U543)</f>
        <v>11367.09</v>
      </c>
      <c r="V541" s="27">
        <f t="shared" si="237"/>
        <v>0</v>
      </c>
    </row>
    <row r="542" spans="2:22" ht="35.25" x14ac:dyDescent="0.5">
      <c r="B542" s="223">
        <v>19</v>
      </c>
      <c r="C542" s="225" t="s">
        <v>772</v>
      </c>
      <c r="D542" s="216"/>
      <c r="E542" s="216">
        <v>1983</v>
      </c>
      <c r="F542" s="216" t="s">
        <v>419</v>
      </c>
      <c r="G542" s="216">
        <v>2</v>
      </c>
      <c r="H542" s="216">
        <v>3</v>
      </c>
      <c r="I542" s="217">
        <v>1011.8</v>
      </c>
      <c r="J542" s="217">
        <v>930.2</v>
      </c>
      <c r="K542" s="218">
        <v>41</v>
      </c>
      <c r="L542" s="216" t="s">
        <v>417</v>
      </c>
      <c r="M542" s="216" t="s">
        <v>424</v>
      </c>
      <c r="N542" s="219" t="s">
        <v>425</v>
      </c>
      <c r="O542" s="221">
        <v>8645969.129999999</v>
      </c>
      <c r="P542" s="221">
        <v>0</v>
      </c>
      <c r="Q542" s="221">
        <v>7176912.54</v>
      </c>
      <c r="R542" s="221">
        <v>377732.24</v>
      </c>
      <c r="S542" s="221">
        <f t="shared" si="245"/>
        <v>1091324.3499999989</v>
      </c>
      <c r="T542" s="221">
        <f t="shared" si="215"/>
        <v>8545.1365190749148</v>
      </c>
      <c r="U542" s="221">
        <v>11367.09</v>
      </c>
      <c r="V542" s="27">
        <f t="shared" si="237"/>
        <v>0</v>
      </c>
    </row>
    <row r="543" spans="2:22" ht="35.25" x14ac:dyDescent="0.5">
      <c r="B543" s="223">
        <v>20</v>
      </c>
      <c r="C543" s="225" t="s">
        <v>773</v>
      </c>
      <c r="D543" s="216"/>
      <c r="E543" s="216">
        <v>1966</v>
      </c>
      <c r="F543" s="216" t="s">
        <v>419</v>
      </c>
      <c r="G543" s="216">
        <v>2</v>
      </c>
      <c r="H543" s="216">
        <v>2</v>
      </c>
      <c r="I543" s="217">
        <v>663.8</v>
      </c>
      <c r="J543" s="217">
        <v>616.70000000000005</v>
      </c>
      <c r="K543" s="218">
        <v>26</v>
      </c>
      <c r="L543" s="216" t="s">
        <v>417</v>
      </c>
      <c r="M543" s="216" t="s">
        <v>424</v>
      </c>
      <c r="N543" s="219" t="s">
        <v>425</v>
      </c>
      <c r="O543" s="221">
        <v>5816629.4400000004</v>
      </c>
      <c r="P543" s="221">
        <v>0</v>
      </c>
      <c r="Q543" s="221">
        <v>4820820.55</v>
      </c>
      <c r="R543" s="221">
        <v>253727.4</v>
      </c>
      <c r="S543" s="221">
        <f t="shared" si="245"/>
        <v>742081.49000000057</v>
      </c>
      <c r="T543" s="221">
        <f t="shared" si="215"/>
        <v>8762.6234407954216</v>
      </c>
      <c r="U543" s="221">
        <v>10059.219999999999</v>
      </c>
      <c r="V543" s="27">
        <f t="shared" si="237"/>
        <v>0</v>
      </c>
    </row>
    <row r="544" spans="2:22" ht="35.25" x14ac:dyDescent="0.5">
      <c r="B544" s="215" t="s">
        <v>676</v>
      </c>
      <c r="C544" s="215"/>
      <c r="D544" s="216" t="s">
        <v>422</v>
      </c>
      <c r="E544" s="216" t="s">
        <v>422</v>
      </c>
      <c r="F544" s="216" t="s">
        <v>422</v>
      </c>
      <c r="G544" s="216" t="s">
        <v>422</v>
      </c>
      <c r="H544" s="216" t="s">
        <v>422</v>
      </c>
      <c r="I544" s="217">
        <f>I545+I546</f>
        <v>4386.7999999999993</v>
      </c>
      <c r="J544" s="217">
        <f t="shared" ref="J544:K544" si="248">J545+J546</f>
        <v>4295</v>
      </c>
      <c r="K544" s="218">
        <f t="shared" si="248"/>
        <v>161</v>
      </c>
      <c r="L544" s="216" t="s">
        <v>422</v>
      </c>
      <c r="M544" s="216" t="s">
        <v>422</v>
      </c>
      <c r="N544" s="219" t="s">
        <v>422</v>
      </c>
      <c r="O544" s="221">
        <v>21472503.989999998</v>
      </c>
      <c r="P544" s="221">
        <f t="shared" ref="P544:S544" si="249">P545+P546</f>
        <v>0</v>
      </c>
      <c r="Q544" s="221">
        <f t="shared" si="249"/>
        <v>18065703.169999998</v>
      </c>
      <c r="R544" s="221">
        <f t="shared" si="249"/>
        <v>950826.48</v>
      </c>
      <c r="S544" s="221">
        <f t="shared" si="249"/>
        <v>2455974.3400000003</v>
      </c>
      <c r="T544" s="221">
        <f t="shared" si="215"/>
        <v>4894.7989400018241</v>
      </c>
      <c r="U544" s="221">
        <f>MAX(U545:U546)</f>
        <v>6258.61</v>
      </c>
      <c r="V544" s="27">
        <f t="shared" si="237"/>
        <v>0</v>
      </c>
    </row>
    <row r="545" spans="2:22" ht="35.25" x14ac:dyDescent="0.5">
      <c r="B545" s="223">
        <v>21</v>
      </c>
      <c r="C545" s="225" t="s">
        <v>774</v>
      </c>
      <c r="D545" s="216"/>
      <c r="E545" s="216">
        <v>1940</v>
      </c>
      <c r="F545" s="216" t="s">
        <v>419</v>
      </c>
      <c r="G545" s="216">
        <v>4</v>
      </c>
      <c r="H545" s="216">
        <v>5</v>
      </c>
      <c r="I545" s="217">
        <v>3198.2</v>
      </c>
      <c r="J545" s="217">
        <v>3198.2</v>
      </c>
      <c r="K545" s="218">
        <v>99</v>
      </c>
      <c r="L545" s="216" t="s">
        <v>417</v>
      </c>
      <c r="M545" s="216" t="s">
        <v>424</v>
      </c>
      <c r="N545" s="219" t="s">
        <v>425</v>
      </c>
      <c r="O545" s="221">
        <v>15457317.359999999</v>
      </c>
      <c r="P545" s="221">
        <v>0</v>
      </c>
      <c r="Q545" s="221">
        <v>13563396.789999999</v>
      </c>
      <c r="R545" s="221">
        <v>713862.99</v>
      </c>
      <c r="S545" s="221">
        <f t="shared" si="245"/>
        <v>1180057.5800000003</v>
      </c>
      <c r="T545" s="221">
        <f t="shared" si="215"/>
        <v>4833.1303107998247</v>
      </c>
      <c r="U545" s="221">
        <v>5162.63</v>
      </c>
      <c r="V545" s="27">
        <f t="shared" si="237"/>
        <v>0</v>
      </c>
    </row>
    <row r="546" spans="2:22" ht="35.25" x14ac:dyDescent="0.5">
      <c r="B546" s="223">
        <v>22</v>
      </c>
      <c r="C546" s="225" t="s">
        <v>775</v>
      </c>
      <c r="D546" s="216"/>
      <c r="E546" s="216">
        <v>1976</v>
      </c>
      <c r="F546" s="216" t="s">
        <v>419</v>
      </c>
      <c r="G546" s="216">
        <v>3</v>
      </c>
      <c r="H546" s="216">
        <v>2</v>
      </c>
      <c r="I546" s="217">
        <v>1188.5999999999999</v>
      </c>
      <c r="J546" s="217">
        <v>1096.8</v>
      </c>
      <c r="K546" s="218">
        <v>62</v>
      </c>
      <c r="L546" s="216" t="s">
        <v>417</v>
      </c>
      <c r="M546" s="216" t="s">
        <v>423</v>
      </c>
      <c r="N546" s="219" t="s">
        <v>493</v>
      </c>
      <c r="O546" s="221">
        <v>6015186.6299999999</v>
      </c>
      <c r="P546" s="221">
        <v>0</v>
      </c>
      <c r="Q546" s="221">
        <v>4502306.38</v>
      </c>
      <c r="R546" s="221">
        <v>236963.49</v>
      </c>
      <c r="S546" s="221">
        <f t="shared" si="245"/>
        <v>1275916.76</v>
      </c>
      <c r="T546" s="221">
        <f t="shared" si="215"/>
        <v>5060.7324835941445</v>
      </c>
      <c r="U546" s="221">
        <v>6258.61</v>
      </c>
      <c r="V546" s="27">
        <f t="shared" si="237"/>
        <v>0</v>
      </c>
    </row>
    <row r="547" spans="2:22" ht="35.25" x14ac:dyDescent="0.5">
      <c r="B547" s="215" t="s">
        <v>667</v>
      </c>
      <c r="C547" s="215"/>
      <c r="D547" s="216" t="s">
        <v>422</v>
      </c>
      <c r="E547" s="216" t="s">
        <v>422</v>
      </c>
      <c r="F547" s="216" t="s">
        <v>422</v>
      </c>
      <c r="G547" s="216" t="s">
        <v>422</v>
      </c>
      <c r="H547" s="216" t="s">
        <v>422</v>
      </c>
      <c r="I547" s="217">
        <f>I548</f>
        <v>940.5</v>
      </c>
      <c r="J547" s="217">
        <f t="shared" ref="J547:K547" si="250">J548</f>
        <v>851.9</v>
      </c>
      <c r="K547" s="218">
        <f t="shared" si="250"/>
        <v>18</v>
      </c>
      <c r="L547" s="216" t="s">
        <v>422</v>
      </c>
      <c r="M547" s="216" t="s">
        <v>422</v>
      </c>
      <c r="N547" s="219" t="s">
        <v>422</v>
      </c>
      <c r="O547" s="221">
        <v>9165155.9600000009</v>
      </c>
      <c r="P547" s="221">
        <f>P548</f>
        <v>0</v>
      </c>
      <c r="Q547" s="221">
        <f t="shared" ref="Q547:S547" si="251">Q548</f>
        <v>7693792.4000000013</v>
      </c>
      <c r="R547" s="221">
        <f t="shared" si="251"/>
        <v>404936.44</v>
      </c>
      <c r="S547" s="221">
        <f t="shared" si="251"/>
        <v>1066427.1199999996</v>
      </c>
      <c r="T547" s="221">
        <f t="shared" si="215"/>
        <v>9744.9824136097832</v>
      </c>
      <c r="U547" s="221">
        <f>U548</f>
        <v>11459.48</v>
      </c>
      <c r="V547" s="27">
        <f t="shared" si="237"/>
        <v>0</v>
      </c>
    </row>
    <row r="548" spans="2:22" ht="35.25" x14ac:dyDescent="0.5">
      <c r="B548" s="223">
        <v>23</v>
      </c>
      <c r="C548" s="225" t="s">
        <v>672</v>
      </c>
      <c r="D548" s="216"/>
      <c r="E548" s="216">
        <v>1981</v>
      </c>
      <c r="F548" s="216" t="s">
        <v>419</v>
      </c>
      <c r="G548" s="216">
        <v>2</v>
      </c>
      <c r="H548" s="216">
        <v>3</v>
      </c>
      <c r="I548" s="217">
        <v>940.5</v>
      </c>
      <c r="J548" s="217">
        <v>851.9</v>
      </c>
      <c r="K548" s="218">
        <v>18</v>
      </c>
      <c r="L548" s="216" t="s">
        <v>417</v>
      </c>
      <c r="M548" s="216" t="s">
        <v>424</v>
      </c>
      <c r="N548" s="219" t="s">
        <v>425</v>
      </c>
      <c r="O548" s="221">
        <v>9165155.9600000009</v>
      </c>
      <c r="P548" s="221">
        <v>0</v>
      </c>
      <c r="Q548" s="221">
        <v>7693792.4000000013</v>
      </c>
      <c r="R548" s="221">
        <v>404936.44</v>
      </c>
      <c r="S548" s="221">
        <f>O548-P548-Q548-R548</f>
        <v>1066427.1199999996</v>
      </c>
      <c r="T548" s="221">
        <f t="shared" si="215"/>
        <v>9744.9824136097832</v>
      </c>
      <c r="U548" s="221">
        <v>11459.48</v>
      </c>
      <c r="V548" s="27">
        <f t="shared" si="237"/>
        <v>0</v>
      </c>
    </row>
    <row r="549" spans="2:22" x14ac:dyDescent="0.55000000000000004">
      <c r="B549" s="26"/>
      <c r="C549" s="26"/>
      <c r="T549" s="39"/>
    </row>
    <row r="550" spans="2:22" x14ac:dyDescent="0.55000000000000004">
      <c r="B550" s="26"/>
      <c r="C550" s="26"/>
      <c r="T550" s="39"/>
    </row>
    <row r="551" spans="2:22" x14ac:dyDescent="0.55000000000000004">
      <c r="B551" s="26"/>
      <c r="C551" s="26"/>
      <c r="T551" s="39"/>
    </row>
    <row r="552" spans="2:22" x14ac:dyDescent="0.55000000000000004">
      <c r="B552" s="26"/>
      <c r="C552" s="26"/>
      <c r="T552" s="39"/>
    </row>
    <row r="553" spans="2:22" x14ac:dyDescent="0.55000000000000004">
      <c r="B553" s="26"/>
      <c r="C553" s="26"/>
      <c r="T553" s="39"/>
    </row>
    <row r="554" spans="2:22" x14ac:dyDescent="0.55000000000000004">
      <c r="B554" s="26"/>
      <c r="C554" s="26"/>
      <c r="T554" s="39"/>
    </row>
    <row r="555" spans="2:22" x14ac:dyDescent="0.55000000000000004">
      <c r="B555" s="26"/>
      <c r="C555" s="26"/>
      <c r="T555" s="39"/>
    </row>
    <row r="556" spans="2:22" x14ac:dyDescent="0.55000000000000004">
      <c r="B556" s="26"/>
      <c r="C556" s="26"/>
      <c r="T556" s="39"/>
    </row>
    <row r="557" spans="2:22" x14ac:dyDescent="0.55000000000000004">
      <c r="B557" s="26"/>
      <c r="C557" s="26"/>
      <c r="T557" s="39"/>
    </row>
    <row r="558" spans="2:22" x14ac:dyDescent="0.55000000000000004">
      <c r="B558" s="26"/>
      <c r="C558" s="26"/>
      <c r="T558" s="39"/>
    </row>
    <row r="559" spans="2:22" x14ac:dyDescent="0.55000000000000004">
      <c r="B559" s="26"/>
      <c r="C559" s="26"/>
      <c r="T559" s="39"/>
    </row>
    <row r="560" spans="2:22" x14ac:dyDescent="0.55000000000000004">
      <c r="B560" s="26"/>
      <c r="C560" s="26"/>
      <c r="T560" s="39"/>
    </row>
    <row r="561" spans="2:20" x14ac:dyDescent="0.55000000000000004">
      <c r="B561" s="26"/>
      <c r="C561" s="26"/>
      <c r="T561" s="39"/>
    </row>
    <row r="562" spans="2:20" x14ac:dyDescent="0.55000000000000004">
      <c r="B562" s="26"/>
      <c r="C562" s="26"/>
      <c r="T562" s="39"/>
    </row>
    <row r="563" spans="2:20" x14ac:dyDescent="0.55000000000000004">
      <c r="B563" s="26"/>
      <c r="C563" s="26"/>
      <c r="T563" s="39"/>
    </row>
    <row r="564" spans="2:20" x14ac:dyDescent="0.55000000000000004">
      <c r="B564" s="26"/>
      <c r="C564" s="26"/>
      <c r="T564" s="39"/>
    </row>
    <row r="565" spans="2:20" x14ac:dyDescent="0.55000000000000004">
      <c r="B565" s="26"/>
      <c r="C565" s="26"/>
      <c r="T565" s="39"/>
    </row>
    <row r="566" spans="2:20" x14ac:dyDescent="0.55000000000000004">
      <c r="B566" s="26"/>
      <c r="C566" s="26"/>
      <c r="T566" s="39"/>
    </row>
    <row r="567" spans="2:20" x14ac:dyDescent="0.55000000000000004">
      <c r="B567" s="26"/>
      <c r="C567" s="26"/>
      <c r="T567" s="39"/>
    </row>
    <row r="568" spans="2:20" x14ac:dyDescent="0.55000000000000004">
      <c r="B568" s="26"/>
      <c r="C568" s="26"/>
      <c r="T568" s="39"/>
    </row>
    <row r="569" spans="2:20" x14ac:dyDescent="0.55000000000000004">
      <c r="B569" s="26"/>
      <c r="C569" s="26"/>
      <c r="T569" s="39"/>
    </row>
    <row r="570" spans="2:20" x14ac:dyDescent="0.55000000000000004">
      <c r="B570" s="26"/>
      <c r="C570" s="26"/>
      <c r="T570" s="39"/>
    </row>
    <row r="571" spans="2:20" x14ac:dyDescent="0.55000000000000004">
      <c r="B571" s="26"/>
      <c r="C571" s="26"/>
      <c r="T571" s="39"/>
    </row>
    <row r="572" spans="2:20" x14ac:dyDescent="0.55000000000000004">
      <c r="B572" s="26"/>
      <c r="C572" s="26"/>
      <c r="T572" s="39"/>
    </row>
    <row r="573" spans="2:20" x14ac:dyDescent="0.55000000000000004">
      <c r="B573" s="26"/>
      <c r="C573" s="26"/>
      <c r="T573" s="39"/>
    </row>
    <row r="574" spans="2:20" x14ac:dyDescent="0.55000000000000004">
      <c r="B574" s="26"/>
      <c r="C574" s="26"/>
      <c r="T574" s="25"/>
    </row>
    <row r="575" spans="2:20" x14ac:dyDescent="0.55000000000000004">
      <c r="B575" s="26"/>
      <c r="C575" s="26"/>
      <c r="T575" s="25"/>
    </row>
    <row r="576" spans="2:20" x14ac:dyDescent="0.55000000000000004">
      <c r="B576" s="26"/>
      <c r="C576" s="26"/>
      <c r="T576" s="25"/>
    </row>
    <row r="577" spans="2:20" x14ac:dyDescent="0.55000000000000004">
      <c r="B577" s="26"/>
      <c r="C577" s="26"/>
      <c r="T577" s="25"/>
    </row>
    <row r="578" spans="2:20" x14ac:dyDescent="0.55000000000000004">
      <c r="B578" s="26"/>
      <c r="C578" s="26"/>
      <c r="T578" s="25"/>
    </row>
    <row r="579" spans="2:20" x14ac:dyDescent="0.55000000000000004">
      <c r="B579" s="26"/>
      <c r="C579" s="26"/>
      <c r="T579" s="25"/>
    </row>
    <row r="580" spans="2:20" x14ac:dyDescent="0.55000000000000004">
      <c r="B580" s="26"/>
      <c r="C580" s="26"/>
      <c r="T580" s="25"/>
    </row>
    <row r="581" spans="2:20" x14ac:dyDescent="0.55000000000000004">
      <c r="B581" s="26"/>
      <c r="C581" s="26"/>
      <c r="T581" s="25"/>
    </row>
    <row r="582" spans="2:20" x14ac:dyDescent="0.55000000000000004">
      <c r="B582" s="26"/>
      <c r="C582" s="26"/>
      <c r="T582" s="25"/>
    </row>
    <row r="583" spans="2:20" x14ac:dyDescent="0.55000000000000004">
      <c r="B583" s="26"/>
      <c r="C583" s="26"/>
      <c r="T583" s="25"/>
    </row>
    <row r="584" spans="2:20" x14ac:dyDescent="0.55000000000000004">
      <c r="B584" s="26"/>
      <c r="C584" s="26"/>
      <c r="T584" s="25"/>
    </row>
    <row r="585" spans="2:20" x14ac:dyDescent="0.55000000000000004">
      <c r="B585" s="26"/>
      <c r="C585" s="26"/>
      <c r="T585" s="25"/>
    </row>
    <row r="586" spans="2:20" x14ac:dyDescent="0.55000000000000004">
      <c r="B586" s="26"/>
      <c r="C586" s="26"/>
      <c r="T586" s="25"/>
    </row>
    <row r="587" spans="2:20" x14ac:dyDescent="0.55000000000000004">
      <c r="B587" s="26"/>
      <c r="C587" s="26"/>
      <c r="T587" s="25"/>
    </row>
    <row r="588" spans="2:20" x14ac:dyDescent="0.55000000000000004">
      <c r="B588" s="26"/>
      <c r="C588" s="26"/>
      <c r="T588" s="25"/>
    </row>
    <row r="589" spans="2:20" x14ac:dyDescent="0.55000000000000004">
      <c r="B589" s="26"/>
      <c r="C589" s="26"/>
      <c r="T589" s="25"/>
    </row>
    <row r="590" spans="2:20" x14ac:dyDescent="0.55000000000000004">
      <c r="B590" s="26"/>
      <c r="C590" s="26"/>
      <c r="T590" s="25"/>
    </row>
    <row r="591" spans="2:20" x14ac:dyDescent="0.55000000000000004">
      <c r="B591" s="26"/>
      <c r="C591" s="26"/>
      <c r="T591" s="25"/>
    </row>
    <row r="592" spans="2:20" x14ac:dyDescent="0.55000000000000004">
      <c r="B592" s="26"/>
      <c r="C592" s="26"/>
    </row>
    <row r="593" spans="2:3" x14ac:dyDescent="0.55000000000000004">
      <c r="B593" s="26"/>
      <c r="C593" s="26"/>
    </row>
    <row r="594" spans="2:3" x14ac:dyDescent="0.55000000000000004">
      <c r="B594" s="26"/>
      <c r="C594" s="26"/>
    </row>
    <row r="595" spans="2:3" x14ac:dyDescent="0.55000000000000004">
      <c r="B595" s="26"/>
      <c r="C595" s="26"/>
    </row>
    <row r="596" spans="2:3" x14ac:dyDescent="0.55000000000000004">
      <c r="B596" s="26"/>
      <c r="C596" s="26"/>
    </row>
    <row r="597" spans="2:3" x14ac:dyDescent="0.55000000000000004">
      <c r="B597" s="26"/>
      <c r="C597" s="26"/>
    </row>
    <row r="598" spans="2:3" x14ac:dyDescent="0.55000000000000004">
      <c r="B598" s="26"/>
      <c r="C598" s="26"/>
    </row>
    <row r="599" spans="2:3" x14ac:dyDescent="0.55000000000000004">
      <c r="B599" s="26"/>
      <c r="C599" s="26"/>
    </row>
    <row r="600" spans="2:3" x14ac:dyDescent="0.55000000000000004">
      <c r="B600" s="26"/>
      <c r="C600" s="26"/>
    </row>
    <row r="601" spans="2:3" x14ac:dyDescent="0.55000000000000004">
      <c r="B601" s="26"/>
      <c r="C601" s="26"/>
    </row>
    <row r="602" spans="2:3" x14ac:dyDescent="0.55000000000000004">
      <c r="B602" s="26"/>
      <c r="C602" s="26"/>
    </row>
    <row r="603" spans="2:3" x14ac:dyDescent="0.55000000000000004">
      <c r="B603" s="26"/>
      <c r="C603" s="26"/>
    </row>
    <row r="604" spans="2:3" x14ac:dyDescent="0.55000000000000004">
      <c r="B604" s="26"/>
      <c r="C604" s="26"/>
    </row>
    <row r="605" spans="2:3" x14ac:dyDescent="0.55000000000000004">
      <c r="B605" s="26"/>
      <c r="C605" s="26"/>
    </row>
    <row r="606" spans="2:3" x14ac:dyDescent="0.55000000000000004">
      <c r="B606" s="26"/>
      <c r="C606" s="26"/>
    </row>
    <row r="11624" spans="12:12" x14ac:dyDescent="0.55000000000000004">
      <c r="L11624" s="24"/>
    </row>
    <row r="11625" spans="12:12" x14ac:dyDescent="0.55000000000000004">
      <c r="L11625" s="24"/>
    </row>
  </sheetData>
  <mergeCells count="26">
    <mergeCell ref="S1:U1"/>
    <mergeCell ref="N2:U3"/>
    <mergeCell ref="B4:U6"/>
    <mergeCell ref="B8:B11"/>
    <mergeCell ref="C8:C11"/>
    <mergeCell ref="D8:D11"/>
    <mergeCell ref="E8:E11"/>
    <mergeCell ref="F8:F11"/>
    <mergeCell ref="G8:G11"/>
    <mergeCell ref="H8:H11"/>
    <mergeCell ref="I8:I10"/>
    <mergeCell ref="J8:J10"/>
    <mergeCell ref="K8:K10"/>
    <mergeCell ref="L8:L11"/>
    <mergeCell ref="M8:M11"/>
    <mergeCell ref="B516:U516"/>
    <mergeCell ref="B512:U512"/>
    <mergeCell ref="O8:S8"/>
    <mergeCell ref="T8:T10"/>
    <mergeCell ref="U8:U10"/>
    <mergeCell ref="O9:O10"/>
    <mergeCell ref="Q9:Q10"/>
    <mergeCell ref="R9:R10"/>
    <mergeCell ref="S9:S10"/>
    <mergeCell ref="P9:P10"/>
    <mergeCell ref="N8:N11"/>
  </mergeCells>
  <conditionalFormatting sqref="C99:C102 C88:C97">
    <cfRule type="duplicateValues" dxfId="13" priority="8"/>
    <cfRule type="duplicateValues" dxfId="12" priority="9"/>
  </conditionalFormatting>
  <conditionalFormatting sqref="C99:C102 C89:C97">
    <cfRule type="duplicateValues" dxfId="11" priority="7"/>
  </conditionalFormatting>
  <conditionalFormatting sqref="C314:C317">
    <cfRule type="duplicateValues" dxfId="10" priority="2"/>
    <cfRule type="duplicateValues" dxfId="9" priority="3"/>
  </conditionalFormatting>
  <conditionalFormatting sqref="C426:C438">
    <cfRule type="duplicateValues" dxfId="8" priority="4"/>
    <cfRule type="duplicateValues" dxfId="7" priority="5"/>
    <cfRule type="duplicateValues" dxfId="6" priority="6"/>
  </conditionalFormatting>
  <pageMargins left="0.23622047244094491" right="0.23622047244094491" top="0.74803149606299213" bottom="0.35433070866141736" header="0.31496062992125984" footer="0.31496062992125984"/>
  <pageSetup paperSize="8" scale="12" fitToHeight="0" orientation="landscape" r:id="rId1"/>
  <headerFooter differentFirst="1">
    <oddHeader>&amp;C&amp;"Times New Roman,обычный"&amp;36&amp;P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8D649-14C7-4B8C-81D8-2EB588010B27}">
  <sheetPr>
    <pageSetUpPr fitToPage="1"/>
  </sheetPr>
  <dimension ref="A1:E47"/>
  <sheetViews>
    <sheetView workbookViewId="0">
      <selection activeCell="C47" sqref="A1:C47"/>
    </sheetView>
  </sheetViews>
  <sheetFormatPr defaultRowHeight="15" x14ac:dyDescent="0.25"/>
  <cols>
    <col min="1" max="1" width="28.7109375" customWidth="1"/>
    <col min="2" max="3" width="44.42578125" customWidth="1"/>
    <col min="5" max="5" width="11.42578125" bestFit="1" customWidth="1"/>
  </cols>
  <sheetData>
    <row r="1" spans="1:3" ht="18.75" x14ac:dyDescent="0.3">
      <c r="A1" s="2"/>
      <c r="B1" s="2"/>
      <c r="C1" s="3" t="s">
        <v>575</v>
      </c>
    </row>
    <row r="2" spans="1:3" ht="105" customHeight="1" x14ac:dyDescent="0.3">
      <c r="A2" s="2"/>
      <c r="B2" s="79" t="s">
        <v>570</v>
      </c>
      <c r="C2" s="79"/>
    </row>
    <row r="3" spans="1:3" ht="12" customHeight="1" x14ac:dyDescent="0.3">
      <c r="A3" s="2"/>
      <c r="B3" s="7"/>
      <c r="C3" s="7"/>
    </row>
    <row r="4" spans="1:3" ht="99" customHeight="1" x14ac:dyDescent="0.25">
      <c r="A4" s="80" t="s">
        <v>573</v>
      </c>
      <c r="B4" s="80"/>
      <c r="C4" s="80"/>
    </row>
    <row r="5" spans="1:3" ht="21.75" customHeight="1" x14ac:dyDescent="0.25">
      <c r="A5" s="6"/>
      <c r="B5" s="6"/>
      <c r="C5" s="6"/>
    </row>
    <row r="6" spans="1:3" ht="57" customHeight="1" x14ac:dyDescent="0.25">
      <c r="A6" s="74" t="s">
        <v>518</v>
      </c>
      <c r="B6" s="75"/>
      <c r="C6" s="76"/>
    </row>
    <row r="7" spans="1:3" ht="46.5" customHeight="1" x14ac:dyDescent="0.25">
      <c r="A7" s="74" t="s">
        <v>519</v>
      </c>
      <c r="B7" s="76"/>
      <c r="C7" s="4" t="s">
        <v>526</v>
      </c>
    </row>
    <row r="8" spans="1:3" ht="18.75" x14ac:dyDescent="0.3">
      <c r="A8" s="72" t="s">
        <v>520</v>
      </c>
      <c r="B8" s="73"/>
      <c r="C8" s="5">
        <f>Перечень!O14</f>
        <v>1380041285.8700001</v>
      </c>
    </row>
    <row r="9" spans="1:3" ht="51.75" customHeight="1" x14ac:dyDescent="0.3">
      <c r="A9" s="77" t="s">
        <v>521</v>
      </c>
      <c r="B9" s="78"/>
      <c r="C9" s="5">
        <f>Перечень!P14</f>
        <v>0</v>
      </c>
    </row>
    <row r="10" spans="1:3" ht="18.75" x14ac:dyDescent="0.3">
      <c r="A10" s="72" t="s">
        <v>522</v>
      </c>
      <c r="B10" s="73"/>
      <c r="C10" s="5">
        <f>Перечень!Q14</f>
        <v>0</v>
      </c>
    </row>
    <row r="11" spans="1:3" ht="18.75" x14ac:dyDescent="0.3">
      <c r="A11" s="72" t="s">
        <v>523</v>
      </c>
      <c r="B11" s="73"/>
      <c r="C11" s="5">
        <f>Перечень!R14</f>
        <v>194612393.64000002</v>
      </c>
    </row>
    <row r="12" spans="1:3" ht="18.75" x14ac:dyDescent="0.3">
      <c r="A12" s="72" t="s">
        <v>524</v>
      </c>
      <c r="B12" s="73"/>
      <c r="C12" s="5">
        <f>Перечень!S14</f>
        <v>1185428892.2300003</v>
      </c>
    </row>
    <row r="13" spans="1:3" ht="42.75" customHeight="1" x14ac:dyDescent="0.25">
      <c r="A13" s="74" t="s">
        <v>525</v>
      </c>
      <c r="B13" s="75"/>
      <c r="C13" s="76"/>
    </row>
    <row r="14" spans="1:3" ht="40.5" customHeight="1" x14ac:dyDescent="0.25">
      <c r="A14" s="74" t="s">
        <v>519</v>
      </c>
      <c r="B14" s="76"/>
      <c r="C14" s="4" t="s">
        <v>527</v>
      </c>
    </row>
    <row r="15" spans="1:3" ht="18.75" x14ac:dyDescent="0.3">
      <c r="A15" s="72" t="s">
        <v>520</v>
      </c>
      <c r="B15" s="73"/>
      <c r="C15" s="5">
        <f>Перечень!O196</f>
        <v>1645427321.2400002</v>
      </c>
    </row>
    <row r="16" spans="1:3" ht="51.75" customHeight="1" x14ac:dyDescent="0.3">
      <c r="A16" s="77" t="s">
        <v>521</v>
      </c>
      <c r="B16" s="78"/>
      <c r="C16" s="5">
        <f>Перечень!P196</f>
        <v>0</v>
      </c>
    </row>
    <row r="17" spans="1:3" ht="18.75" x14ac:dyDescent="0.3">
      <c r="A17" s="72" t="s">
        <v>522</v>
      </c>
      <c r="B17" s="73"/>
      <c r="C17" s="5">
        <f>Перечень!Q196</f>
        <v>0</v>
      </c>
    </row>
    <row r="18" spans="1:3" ht="18.75" x14ac:dyDescent="0.3">
      <c r="A18" s="72" t="s">
        <v>523</v>
      </c>
      <c r="B18" s="73"/>
      <c r="C18" s="5">
        <f>Перечень!R196</f>
        <v>0</v>
      </c>
    </row>
    <row r="19" spans="1:3" ht="18.75" x14ac:dyDescent="0.3">
      <c r="A19" s="72" t="s">
        <v>524</v>
      </c>
      <c r="B19" s="73"/>
      <c r="C19" s="5">
        <f>Перечень!S196</f>
        <v>1645427321.2400002</v>
      </c>
    </row>
    <row r="20" spans="1:3" ht="51.75" customHeight="1" x14ac:dyDescent="0.25">
      <c r="A20" s="74" t="s">
        <v>525</v>
      </c>
      <c r="B20" s="75"/>
      <c r="C20" s="76"/>
    </row>
    <row r="21" spans="1:3" ht="37.5" x14ac:dyDescent="0.25">
      <c r="A21" s="74" t="s">
        <v>519</v>
      </c>
      <c r="B21" s="76"/>
      <c r="C21" s="4" t="s">
        <v>528</v>
      </c>
    </row>
    <row r="22" spans="1:3" ht="18.75" x14ac:dyDescent="0.3">
      <c r="A22" s="72" t="s">
        <v>520</v>
      </c>
      <c r="B22" s="73"/>
      <c r="C22" s="5">
        <f>Перечень!O365</f>
        <v>1320973690.3</v>
      </c>
    </row>
    <row r="23" spans="1:3" ht="43.5" customHeight="1" x14ac:dyDescent="0.3">
      <c r="A23" s="77" t="s">
        <v>521</v>
      </c>
      <c r="B23" s="78"/>
      <c r="C23" s="5">
        <f>Перечень!P365</f>
        <v>0</v>
      </c>
    </row>
    <row r="24" spans="1:3" ht="18.75" x14ac:dyDescent="0.3">
      <c r="A24" s="72" t="s">
        <v>522</v>
      </c>
      <c r="B24" s="73"/>
      <c r="C24" s="5">
        <f>Перечень!Q365</f>
        <v>0</v>
      </c>
    </row>
    <row r="25" spans="1:3" ht="18.75" x14ac:dyDescent="0.3">
      <c r="A25" s="72" t="s">
        <v>523</v>
      </c>
      <c r="B25" s="73"/>
      <c r="C25" s="5">
        <f>Перечень!R365</f>
        <v>0</v>
      </c>
    </row>
    <row r="26" spans="1:3" ht="18.75" x14ac:dyDescent="0.3">
      <c r="A26" s="72" t="s">
        <v>524</v>
      </c>
      <c r="B26" s="73"/>
      <c r="C26" s="5">
        <f>Перечень!S365</f>
        <v>1320973690.3</v>
      </c>
    </row>
    <row r="27" spans="1:3" ht="69" customHeight="1" x14ac:dyDescent="0.25">
      <c r="A27" s="74" t="s">
        <v>742</v>
      </c>
      <c r="B27" s="75"/>
      <c r="C27" s="76"/>
    </row>
    <row r="28" spans="1:3" ht="37.5" x14ac:dyDescent="0.25">
      <c r="A28" s="74" t="s">
        <v>519</v>
      </c>
      <c r="B28" s="76"/>
      <c r="C28" s="4" t="s">
        <v>526</v>
      </c>
    </row>
    <row r="29" spans="1:3" ht="18.75" x14ac:dyDescent="0.3">
      <c r="A29" s="72" t="s">
        <v>520</v>
      </c>
      <c r="B29" s="73"/>
      <c r="C29" s="5">
        <f>Перечень!O513</f>
        <v>16948149.629999999</v>
      </c>
    </row>
    <row r="30" spans="1:3" ht="18.75" x14ac:dyDescent="0.3">
      <c r="A30" s="72" t="s">
        <v>522</v>
      </c>
      <c r="B30" s="73"/>
      <c r="C30" s="5">
        <f>Перечень!Q513</f>
        <v>0</v>
      </c>
    </row>
    <row r="31" spans="1:3" ht="18.75" x14ac:dyDescent="0.3">
      <c r="A31" s="72" t="s">
        <v>523</v>
      </c>
      <c r="B31" s="73"/>
      <c r="C31" s="5">
        <f>Перечень!R513</f>
        <v>0</v>
      </c>
    </row>
    <row r="32" spans="1:3" ht="18.75" x14ac:dyDescent="0.3">
      <c r="A32" s="72" t="s">
        <v>524</v>
      </c>
      <c r="B32" s="73"/>
      <c r="C32" s="5">
        <f>C29-C30-C31</f>
        <v>16948149.629999999</v>
      </c>
    </row>
    <row r="33" spans="1:5" ht="41.25" customHeight="1" x14ac:dyDescent="0.25">
      <c r="A33" s="74" t="s">
        <v>735</v>
      </c>
      <c r="B33" s="75"/>
      <c r="C33" s="76"/>
    </row>
    <row r="34" spans="1:5" ht="37.5" x14ac:dyDescent="0.25">
      <c r="A34" s="74" t="s">
        <v>519</v>
      </c>
      <c r="B34" s="76"/>
      <c r="C34" s="4" t="s">
        <v>526</v>
      </c>
    </row>
    <row r="35" spans="1:5" ht="18.75" x14ac:dyDescent="0.3">
      <c r="A35" s="72" t="s">
        <v>520</v>
      </c>
      <c r="B35" s="73"/>
      <c r="C35" s="22">
        <f>Перечень!O517</f>
        <v>177113005.71000001</v>
      </c>
    </row>
    <row r="36" spans="1:5" ht="18.75" x14ac:dyDescent="0.3">
      <c r="A36" s="72" t="s">
        <v>736</v>
      </c>
      <c r="B36" s="73"/>
      <c r="C36" s="5">
        <f>Перечень!Q517</f>
        <v>141327578.48999998</v>
      </c>
    </row>
    <row r="37" spans="1:5" ht="18.75" x14ac:dyDescent="0.3">
      <c r="A37" s="72" t="s">
        <v>523</v>
      </c>
      <c r="B37" s="73"/>
      <c r="C37" s="5">
        <f>Перечень!R517</f>
        <v>7994586.3299999991</v>
      </c>
    </row>
    <row r="38" spans="1:5" ht="18.75" x14ac:dyDescent="0.3">
      <c r="A38" s="72" t="s">
        <v>524</v>
      </c>
      <c r="B38" s="73"/>
      <c r="C38" s="5">
        <f>РО!C35-РО!C36-РО!C37</f>
        <v>27790840.89000003</v>
      </c>
    </row>
    <row r="39" spans="1:5" ht="83.25" customHeight="1" x14ac:dyDescent="0.25">
      <c r="A39" s="74" t="s">
        <v>697</v>
      </c>
      <c r="B39" s="75"/>
      <c r="C39" s="76"/>
    </row>
    <row r="40" spans="1:5" ht="37.5" x14ac:dyDescent="0.25">
      <c r="A40" s="74" t="s">
        <v>519</v>
      </c>
      <c r="B40" s="76"/>
      <c r="C40" s="4" t="s">
        <v>526</v>
      </c>
    </row>
    <row r="41" spans="1:5" ht="18.75" x14ac:dyDescent="0.3">
      <c r="A41" s="72" t="s">
        <v>522</v>
      </c>
      <c r="B41" s="73"/>
      <c r="C41" s="5">
        <v>143519000</v>
      </c>
      <c r="E41" s="1"/>
    </row>
    <row r="42" spans="1:5" ht="62.25" customHeight="1" x14ac:dyDescent="0.25">
      <c r="A42" s="74" t="s">
        <v>698</v>
      </c>
      <c r="B42" s="75"/>
      <c r="C42" s="76"/>
    </row>
    <row r="43" spans="1:5" ht="37.5" x14ac:dyDescent="0.25">
      <c r="A43" s="74" t="s">
        <v>519</v>
      </c>
      <c r="B43" s="76"/>
      <c r="C43" s="4" t="s">
        <v>527</v>
      </c>
    </row>
    <row r="44" spans="1:5" ht="18.75" x14ac:dyDescent="0.3">
      <c r="A44" s="72" t="s">
        <v>522</v>
      </c>
      <c r="B44" s="73"/>
      <c r="C44" s="5">
        <v>150871000</v>
      </c>
    </row>
    <row r="45" spans="1:5" ht="63.75" customHeight="1" x14ac:dyDescent="0.25">
      <c r="A45" s="74" t="s">
        <v>698</v>
      </c>
      <c r="B45" s="75"/>
      <c r="C45" s="76"/>
    </row>
    <row r="46" spans="1:5" ht="37.5" x14ac:dyDescent="0.25">
      <c r="A46" s="74" t="s">
        <v>519</v>
      </c>
      <c r="B46" s="76"/>
      <c r="C46" s="4" t="s">
        <v>528</v>
      </c>
    </row>
    <row r="47" spans="1:5" ht="24.75" customHeight="1" x14ac:dyDescent="0.3">
      <c r="A47" s="72" t="s">
        <v>522</v>
      </c>
      <c r="B47" s="73"/>
      <c r="C47" s="5">
        <v>153962900</v>
      </c>
    </row>
  </sheetData>
  <mergeCells count="44">
    <mergeCell ref="A9:B9"/>
    <mergeCell ref="B2:C2"/>
    <mergeCell ref="A4:C4"/>
    <mergeCell ref="A6:C6"/>
    <mergeCell ref="A7:B7"/>
    <mergeCell ref="A8:B8"/>
    <mergeCell ref="A21:B21"/>
    <mergeCell ref="A10:B10"/>
    <mergeCell ref="A11:B11"/>
    <mergeCell ref="A12:B12"/>
    <mergeCell ref="A13:C13"/>
    <mergeCell ref="A14:B14"/>
    <mergeCell ref="A15:B15"/>
    <mergeCell ref="A16:B16"/>
    <mergeCell ref="A17:B17"/>
    <mergeCell ref="A18:B18"/>
    <mergeCell ref="A19:B19"/>
    <mergeCell ref="A20:C20"/>
    <mergeCell ref="A22:B22"/>
    <mergeCell ref="A23:B23"/>
    <mergeCell ref="A24:B24"/>
    <mergeCell ref="A25:B25"/>
    <mergeCell ref="A26:B26"/>
    <mergeCell ref="A45:C45"/>
    <mergeCell ref="A46:B46"/>
    <mergeCell ref="A47:B47"/>
    <mergeCell ref="A44:B44"/>
    <mergeCell ref="A39:C39"/>
    <mergeCell ref="A40:B40"/>
    <mergeCell ref="A41:B41"/>
    <mergeCell ref="A42:C42"/>
    <mergeCell ref="A43:B43"/>
    <mergeCell ref="A38:B38"/>
    <mergeCell ref="A27:C27"/>
    <mergeCell ref="A28:B28"/>
    <mergeCell ref="A29:B29"/>
    <mergeCell ref="A30:B30"/>
    <mergeCell ref="A31:B31"/>
    <mergeCell ref="A32:B32"/>
    <mergeCell ref="A33:C33"/>
    <mergeCell ref="A34:B34"/>
    <mergeCell ref="A35:B35"/>
    <mergeCell ref="A36:B36"/>
    <mergeCell ref="A37:B37"/>
  </mergeCells>
  <pageMargins left="0.23622047244094491" right="0.23622047244094491" top="0.74803149606299213" bottom="0.35433070866141736" header="0.31496062992125984" footer="0.31496062992125984"/>
  <pageSetup paperSize="9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BF627-9D6A-4D1C-964D-7D31F124D573}">
  <sheetPr>
    <pageSetUpPr fitToPage="1"/>
  </sheetPr>
  <dimension ref="A1:H103"/>
  <sheetViews>
    <sheetView topLeftCell="A75" zoomScale="70" zoomScaleNormal="70" workbookViewId="0">
      <selection activeCell="B103" sqref="B103"/>
    </sheetView>
  </sheetViews>
  <sheetFormatPr defaultRowHeight="15" x14ac:dyDescent="0.25"/>
  <cols>
    <col min="1" max="1" width="9" customWidth="1"/>
    <col min="2" max="2" width="79.42578125" customWidth="1"/>
    <col min="3" max="3" width="25.42578125" customWidth="1"/>
    <col min="4" max="4" width="28.5703125" customWidth="1"/>
    <col min="5" max="5" width="25.42578125" customWidth="1"/>
    <col min="6" max="6" width="27.140625" customWidth="1"/>
    <col min="8" max="8" width="14.28515625" bestFit="1" customWidth="1"/>
    <col min="10" max="10" width="12" bestFit="1" customWidth="1"/>
  </cols>
  <sheetData>
    <row r="1" spans="1:8" ht="20.25" x14ac:dyDescent="0.25">
      <c r="A1" s="9"/>
      <c r="B1" s="9"/>
      <c r="C1" s="65" t="s">
        <v>567</v>
      </c>
      <c r="D1" s="65"/>
      <c r="E1" s="65"/>
      <c r="F1" s="65"/>
    </row>
    <row r="2" spans="1:8" ht="103.5" customHeight="1" x14ac:dyDescent="0.25">
      <c r="B2" s="10"/>
      <c r="C2" s="66" t="s">
        <v>568</v>
      </c>
      <c r="D2" s="66"/>
      <c r="E2" s="66"/>
      <c r="F2" s="66"/>
    </row>
    <row r="3" spans="1:8" x14ac:dyDescent="0.25">
      <c r="A3" s="67" t="s">
        <v>576</v>
      </c>
      <c r="B3" s="67"/>
      <c r="C3" s="67"/>
      <c r="D3" s="67"/>
      <c r="E3" s="67"/>
      <c r="F3" s="67"/>
    </row>
    <row r="4" spans="1:8" ht="114.75" customHeight="1" x14ac:dyDescent="0.25">
      <c r="A4" s="67"/>
      <c r="B4" s="67"/>
      <c r="C4" s="67"/>
      <c r="D4" s="67"/>
      <c r="E4" s="67"/>
      <c r="F4" s="67"/>
    </row>
    <row r="5" spans="1:8" x14ac:dyDescent="0.25">
      <c r="A5" s="68" t="s">
        <v>4</v>
      </c>
      <c r="B5" s="70" t="s">
        <v>529</v>
      </c>
      <c r="C5" s="68" t="s">
        <v>530</v>
      </c>
      <c r="D5" s="68" t="s">
        <v>531</v>
      </c>
      <c r="E5" s="68" t="s">
        <v>532</v>
      </c>
      <c r="F5" s="68" t="s">
        <v>533</v>
      </c>
    </row>
    <row r="6" spans="1:8" ht="39.75" customHeight="1" x14ac:dyDescent="0.25">
      <c r="A6" s="69"/>
      <c r="B6" s="71"/>
      <c r="C6" s="68"/>
      <c r="D6" s="68"/>
      <c r="E6" s="68"/>
      <c r="F6" s="68"/>
    </row>
    <row r="7" spans="1:8" ht="68.25" customHeight="1" x14ac:dyDescent="0.25">
      <c r="A7" s="69"/>
      <c r="B7" s="71"/>
      <c r="C7" s="68"/>
      <c r="D7" s="68"/>
      <c r="E7" s="68"/>
      <c r="F7" s="68"/>
    </row>
    <row r="8" spans="1:8" ht="20.25" x14ac:dyDescent="0.3">
      <c r="A8" s="69"/>
      <c r="B8" s="71"/>
      <c r="C8" s="11" t="s">
        <v>534</v>
      </c>
      <c r="D8" s="11" t="s">
        <v>315</v>
      </c>
      <c r="E8" s="12" t="s">
        <v>31</v>
      </c>
      <c r="F8" s="12" t="s">
        <v>30</v>
      </c>
    </row>
    <row r="9" spans="1:8" ht="20.25" x14ac:dyDescent="0.3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</row>
    <row r="10" spans="1:8" ht="20.25" x14ac:dyDescent="0.3">
      <c r="A10" s="13" t="s">
        <v>515</v>
      </c>
      <c r="B10" s="13"/>
      <c r="C10" s="14">
        <f>C11+C38+C65</f>
        <v>1150582.05</v>
      </c>
      <c r="D10" s="15">
        <f t="shared" ref="D10:F10" si="0">D11+D38+D65</f>
        <v>43248</v>
      </c>
      <c r="E10" s="15">
        <f t="shared" si="0"/>
        <v>418</v>
      </c>
      <c r="F10" s="14">
        <f t="shared" si="0"/>
        <v>4346442297.4100008</v>
      </c>
    </row>
    <row r="11" spans="1:8" ht="20.25" x14ac:dyDescent="0.3">
      <c r="A11" s="13" t="s">
        <v>514</v>
      </c>
      <c r="B11" s="13"/>
      <c r="C11" s="16">
        <f>SUM(C12:C37)</f>
        <v>311612.78000000003</v>
      </c>
      <c r="D11" s="15">
        <f>SUM(D12:D37)</f>
        <v>11701</v>
      </c>
      <c r="E11" s="15">
        <f>SUM(E12:E37)</f>
        <v>155</v>
      </c>
      <c r="F11" s="16">
        <f>SUM(F12:F37)</f>
        <v>1380041285.8700001</v>
      </c>
    </row>
    <row r="12" spans="1:8" ht="20.25" x14ac:dyDescent="0.3">
      <c r="A12" s="17">
        <v>1</v>
      </c>
      <c r="B12" s="18" t="s">
        <v>113</v>
      </c>
      <c r="C12" s="16">
        <v>97076.250000000015</v>
      </c>
      <c r="D12" s="15">
        <v>3537</v>
      </c>
      <c r="E12" s="15">
        <v>37</v>
      </c>
      <c r="F12" s="16">
        <v>363865151.03000009</v>
      </c>
      <c r="H12" s="1"/>
    </row>
    <row r="13" spans="1:8" ht="20.25" x14ac:dyDescent="0.3">
      <c r="A13" s="17">
        <v>2</v>
      </c>
      <c r="B13" s="18" t="s">
        <v>168</v>
      </c>
      <c r="C13" s="16">
        <v>8608.6</v>
      </c>
      <c r="D13" s="15">
        <v>355</v>
      </c>
      <c r="E13" s="15">
        <v>7</v>
      </c>
      <c r="F13" s="16">
        <v>50230675.549999997</v>
      </c>
      <c r="H13" s="1"/>
    </row>
    <row r="14" spans="1:8" ht="20.25" x14ac:dyDescent="0.3">
      <c r="A14" s="17">
        <v>3</v>
      </c>
      <c r="B14" s="18" t="s">
        <v>152</v>
      </c>
      <c r="C14" s="16">
        <v>27138.5</v>
      </c>
      <c r="D14" s="15">
        <v>1123</v>
      </c>
      <c r="E14" s="15">
        <v>14</v>
      </c>
      <c r="F14" s="16">
        <v>120022693.69999999</v>
      </c>
      <c r="H14" s="1"/>
    </row>
    <row r="15" spans="1:8" ht="20.25" x14ac:dyDescent="0.3">
      <c r="A15" s="17">
        <v>4</v>
      </c>
      <c r="B15" s="19" t="s">
        <v>472</v>
      </c>
      <c r="C15" s="16">
        <v>32835.410000000003</v>
      </c>
      <c r="D15" s="15">
        <v>1177</v>
      </c>
      <c r="E15" s="20">
        <v>9</v>
      </c>
      <c r="F15" s="16">
        <v>74891227.419999987</v>
      </c>
      <c r="H15" s="1"/>
    </row>
    <row r="16" spans="1:8" ht="20.25" x14ac:dyDescent="0.3">
      <c r="A16" s="17">
        <v>5</v>
      </c>
      <c r="B16" s="18" t="s">
        <v>535</v>
      </c>
      <c r="C16" s="16">
        <v>6726.7</v>
      </c>
      <c r="D16" s="15">
        <v>181</v>
      </c>
      <c r="E16" s="20">
        <v>1</v>
      </c>
      <c r="F16" s="16">
        <v>15284190.040000001</v>
      </c>
      <c r="H16" s="1"/>
    </row>
    <row r="17" spans="1:8" ht="20.25" x14ac:dyDescent="0.3">
      <c r="A17" s="17">
        <v>6</v>
      </c>
      <c r="B17" s="18" t="s">
        <v>701</v>
      </c>
      <c r="C17" s="16">
        <v>47954.69</v>
      </c>
      <c r="D17" s="15">
        <v>1706</v>
      </c>
      <c r="E17" s="20">
        <v>14</v>
      </c>
      <c r="F17" s="16">
        <v>179194506.43000004</v>
      </c>
      <c r="H17" s="1"/>
    </row>
    <row r="18" spans="1:8" ht="20.25" x14ac:dyDescent="0.3">
      <c r="A18" s="17">
        <v>7</v>
      </c>
      <c r="B18" s="19" t="s">
        <v>536</v>
      </c>
      <c r="C18" s="16">
        <v>5714.2999999999993</v>
      </c>
      <c r="D18" s="15">
        <v>226</v>
      </c>
      <c r="E18" s="20">
        <v>4</v>
      </c>
      <c r="F18" s="16">
        <v>30681980.5</v>
      </c>
      <c r="H18" s="1"/>
    </row>
    <row r="19" spans="1:8" ht="20.25" x14ac:dyDescent="0.3">
      <c r="A19" s="17">
        <v>8</v>
      </c>
      <c r="B19" s="19" t="s">
        <v>539</v>
      </c>
      <c r="C19" s="16">
        <v>1260.3</v>
      </c>
      <c r="D19" s="15">
        <v>44</v>
      </c>
      <c r="E19" s="20">
        <v>1</v>
      </c>
      <c r="F19" s="16">
        <v>12313494.880000001</v>
      </c>
      <c r="H19" s="1"/>
    </row>
    <row r="20" spans="1:8" ht="20.25" x14ac:dyDescent="0.3">
      <c r="A20" s="17">
        <v>9</v>
      </c>
      <c r="B20" s="19" t="s">
        <v>546</v>
      </c>
      <c r="C20" s="16">
        <v>774.2</v>
      </c>
      <c r="D20" s="15">
        <v>42</v>
      </c>
      <c r="E20" s="20">
        <v>1</v>
      </c>
      <c r="F20" s="16">
        <v>7934068.75</v>
      </c>
      <c r="H20" s="1"/>
    </row>
    <row r="21" spans="1:8" ht="20.25" x14ac:dyDescent="0.3">
      <c r="A21" s="17">
        <v>10</v>
      </c>
      <c r="B21" s="19" t="s">
        <v>537</v>
      </c>
      <c r="C21" s="16">
        <v>415</v>
      </c>
      <c r="D21" s="15">
        <v>17</v>
      </c>
      <c r="E21" s="20">
        <v>1</v>
      </c>
      <c r="F21" s="16">
        <v>4570023.5999999996</v>
      </c>
      <c r="H21" s="1"/>
    </row>
    <row r="22" spans="1:8" ht="20.25" x14ac:dyDescent="0.3">
      <c r="A22" s="17">
        <v>11</v>
      </c>
      <c r="B22" s="19" t="s">
        <v>545</v>
      </c>
      <c r="C22" s="16">
        <v>1678.1999999999998</v>
      </c>
      <c r="D22" s="15">
        <v>91</v>
      </c>
      <c r="E22" s="20">
        <v>2</v>
      </c>
      <c r="F22" s="16">
        <v>12256188.469999999</v>
      </c>
      <c r="H22" s="1"/>
    </row>
    <row r="23" spans="1:8" ht="20.25" x14ac:dyDescent="0.3">
      <c r="A23" s="17">
        <v>12</v>
      </c>
      <c r="B23" s="19" t="s">
        <v>702</v>
      </c>
      <c r="C23" s="16">
        <v>4884.8599999999997</v>
      </c>
      <c r="D23" s="15">
        <v>174</v>
      </c>
      <c r="E23" s="20">
        <v>6</v>
      </c>
      <c r="F23" s="16">
        <v>32167975.77</v>
      </c>
      <c r="H23" s="1"/>
    </row>
    <row r="24" spans="1:8" ht="20.25" x14ac:dyDescent="0.3">
      <c r="A24" s="17">
        <v>13</v>
      </c>
      <c r="B24" s="18" t="s">
        <v>703</v>
      </c>
      <c r="C24" s="16">
        <v>2204.5</v>
      </c>
      <c r="D24" s="15">
        <v>47</v>
      </c>
      <c r="E24" s="20">
        <v>3</v>
      </c>
      <c r="F24" s="16">
        <v>14952717.49</v>
      </c>
      <c r="H24" s="1"/>
    </row>
    <row r="25" spans="1:8" ht="20.25" x14ac:dyDescent="0.3">
      <c r="A25" s="17">
        <v>14</v>
      </c>
      <c r="B25" s="18" t="s">
        <v>704</v>
      </c>
      <c r="C25" s="16">
        <v>3620.6</v>
      </c>
      <c r="D25" s="15">
        <v>129</v>
      </c>
      <c r="E25" s="20">
        <v>4</v>
      </c>
      <c r="F25" s="16">
        <v>59468472.069999993</v>
      </c>
      <c r="H25" s="1"/>
    </row>
    <row r="26" spans="1:8" ht="20.25" x14ac:dyDescent="0.3">
      <c r="A26" s="17">
        <v>15</v>
      </c>
      <c r="B26" s="18" t="s">
        <v>705</v>
      </c>
      <c r="C26" s="16">
        <v>13392.179999999998</v>
      </c>
      <c r="D26" s="15">
        <v>408</v>
      </c>
      <c r="E26" s="20">
        <v>4</v>
      </c>
      <c r="F26" s="16">
        <v>43840791.489999995</v>
      </c>
      <c r="H26" s="1"/>
    </row>
    <row r="27" spans="1:8" ht="20.25" x14ac:dyDescent="0.3">
      <c r="A27" s="17">
        <v>16</v>
      </c>
      <c r="B27" s="18" t="s">
        <v>712</v>
      </c>
      <c r="C27" s="16">
        <v>4344.6000000000004</v>
      </c>
      <c r="D27" s="15">
        <v>110</v>
      </c>
      <c r="E27" s="20">
        <v>4</v>
      </c>
      <c r="F27" s="16">
        <v>36548320.950000003</v>
      </c>
      <c r="H27" s="1"/>
    </row>
    <row r="28" spans="1:8" ht="20.25" x14ac:dyDescent="0.3">
      <c r="A28" s="17">
        <v>17</v>
      </c>
      <c r="B28" s="18" t="s">
        <v>706</v>
      </c>
      <c r="C28" s="16">
        <v>2717.8</v>
      </c>
      <c r="D28" s="15">
        <v>118</v>
      </c>
      <c r="E28" s="20">
        <v>5</v>
      </c>
      <c r="F28" s="16">
        <v>29943810.810000002</v>
      </c>
      <c r="H28" s="1"/>
    </row>
    <row r="29" spans="1:8" ht="20.25" x14ac:dyDescent="0.3">
      <c r="A29" s="17">
        <v>18</v>
      </c>
      <c r="B29" s="18" t="s">
        <v>222</v>
      </c>
      <c r="C29" s="16">
        <v>3941.22</v>
      </c>
      <c r="D29" s="15">
        <v>106</v>
      </c>
      <c r="E29" s="20">
        <v>3</v>
      </c>
      <c r="F29" s="16">
        <v>19260578.530000001</v>
      </c>
      <c r="H29" s="1"/>
    </row>
    <row r="30" spans="1:8" ht="20.25" x14ac:dyDescent="0.3">
      <c r="A30" s="17">
        <v>19</v>
      </c>
      <c r="B30" s="19" t="s">
        <v>707</v>
      </c>
      <c r="C30" s="16">
        <v>16270.210000000001</v>
      </c>
      <c r="D30" s="15">
        <v>661</v>
      </c>
      <c r="E30" s="20">
        <v>7</v>
      </c>
      <c r="F30" s="16">
        <v>76637550.150000006</v>
      </c>
      <c r="H30" s="1"/>
    </row>
    <row r="31" spans="1:8" ht="20.25" x14ac:dyDescent="0.3">
      <c r="A31" s="17">
        <v>20</v>
      </c>
      <c r="B31" s="19" t="s">
        <v>708</v>
      </c>
      <c r="C31" s="16">
        <v>8332.4</v>
      </c>
      <c r="D31" s="15">
        <v>339</v>
      </c>
      <c r="E31" s="20">
        <v>7</v>
      </c>
      <c r="F31" s="16">
        <v>53286193.409999996</v>
      </c>
      <c r="H31" s="1"/>
    </row>
    <row r="32" spans="1:8" ht="20.25" x14ac:dyDescent="0.3">
      <c r="A32" s="17">
        <v>21</v>
      </c>
      <c r="B32" s="18" t="s">
        <v>709</v>
      </c>
      <c r="C32" s="16">
        <v>400.8</v>
      </c>
      <c r="D32" s="15">
        <v>21</v>
      </c>
      <c r="E32" s="20">
        <v>1</v>
      </c>
      <c r="F32" s="16">
        <v>5480018.8700000001</v>
      </c>
      <c r="H32" s="1"/>
    </row>
    <row r="33" spans="1:8" ht="20.25" x14ac:dyDescent="0.3">
      <c r="A33" s="17">
        <v>22</v>
      </c>
      <c r="B33" s="18" t="s">
        <v>242</v>
      </c>
      <c r="C33" s="16">
        <v>11956.66</v>
      </c>
      <c r="D33" s="15">
        <v>648</v>
      </c>
      <c r="E33" s="20">
        <v>9</v>
      </c>
      <c r="F33" s="16">
        <v>62490575.879999995</v>
      </c>
      <c r="H33" s="1"/>
    </row>
    <row r="34" spans="1:8" ht="20.25" x14ac:dyDescent="0.3">
      <c r="A34" s="17">
        <v>23</v>
      </c>
      <c r="B34" s="18" t="s">
        <v>710</v>
      </c>
      <c r="C34" s="16">
        <v>3024.8999999999996</v>
      </c>
      <c r="D34" s="15">
        <v>175</v>
      </c>
      <c r="E34" s="20">
        <v>5</v>
      </c>
      <c r="F34" s="16">
        <v>35034746.390000001</v>
      </c>
      <c r="H34" s="1"/>
    </row>
    <row r="35" spans="1:8" ht="20.25" x14ac:dyDescent="0.3">
      <c r="A35" s="17">
        <v>24</v>
      </c>
      <c r="B35" s="18" t="s">
        <v>544</v>
      </c>
      <c r="C35" s="16">
        <v>961.7</v>
      </c>
      <c r="D35" s="15">
        <v>45</v>
      </c>
      <c r="E35" s="20">
        <v>1</v>
      </c>
      <c r="F35" s="16">
        <v>8075852.6499999994</v>
      </c>
      <c r="H35" s="1"/>
    </row>
    <row r="36" spans="1:8" ht="20.25" x14ac:dyDescent="0.3">
      <c r="A36" s="17">
        <v>25</v>
      </c>
      <c r="B36" s="18" t="s">
        <v>541</v>
      </c>
      <c r="C36" s="16">
        <v>1035.0999999999999</v>
      </c>
      <c r="D36" s="15">
        <v>46</v>
      </c>
      <c r="E36" s="20">
        <v>3</v>
      </c>
      <c r="F36" s="16">
        <v>8962475.1999999993</v>
      </c>
      <c r="H36" s="1"/>
    </row>
    <row r="37" spans="1:8" ht="20.25" x14ac:dyDescent="0.3">
      <c r="A37" s="17">
        <v>26</v>
      </c>
      <c r="B37" s="18" t="s">
        <v>711</v>
      </c>
      <c r="C37" s="16">
        <v>4343.1000000000004</v>
      </c>
      <c r="D37" s="15">
        <v>175</v>
      </c>
      <c r="E37" s="20">
        <v>2</v>
      </c>
      <c r="F37" s="16">
        <v>22647005.84</v>
      </c>
      <c r="H37" s="1"/>
    </row>
    <row r="38" spans="1:8" ht="20.25" x14ac:dyDescent="0.3">
      <c r="A38" s="13" t="s">
        <v>516</v>
      </c>
      <c r="B38" s="8"/>
      <c r="C38" s="16">
        <f>SUM(C39:C64)</f>
        <v>509201.8600000001</v>
      </c>
      <c r="D38" s="15">
        <f t="shared" ref="D38:F38" si="1">SUM(D39:D64)</f>
        <v>18939</v>
      </c>
      <c r="E38" s="21">
        <f t="shared" si="1"/>
        <v>142</v>
      </c>
      <c r="F38" s="16">
        <f t="shared" si="1"/>
        <v>1645427321.2400002</v>
      </c>
    </row>
    <row r="39" spans="1:8" ht="20.25" x14ac:dyDescent="0.3">
      <c r="A39" s="17">
        <v>1</v>
      </c>
      <c r="B39" s="18" t="s">
        <v>113</v>
      </c>
      <c r="C39" s="16">
        <v>150741.1</v>
      </c>
      <c r="D39" s="20">
        <v>5930</v>
      </c>
      <c r="E39" s="20">
        <v>39</v>
      </c>
      <c r="F39" s="16">
        <v>362437177.59000009</v>
      </c>
    </row>
    <row r="40" spans="1:8" ht="20.25" x14ac:dyDescent="0.3">
      <c r="A40" s="17">
        <v>2</v>
      </c>
      <c r="B40" s="18" t="s">
        <v>168</v>
      </c>
      <c r="C40" s="16">
        <v>20360.700000000004</v>
      </c>
      <c r="D40" s="20">
        <v>668</v>
      </c>
      <c r="E40" s="20">
        <v>6</v>
      </c>
      <c r="F40" s="16">
        <v>68040552.340000004</v>
      </c>
    </row>
    <row r="41" spans="1:8" ht="20.25" x14ac:dyDescent="0.3">
      <c r="A41" s="17">
        <v>3</v>
      </c>
      <c r="B41" s="18" t="s">
        <v>152</v>
      </c>
      <c r="C41" s="16">
        <v>82900.639999999999</v>
      </c>
      <c r="D41" s="20">
        <v>2524</v>
      </c>
      <c r="E41" s="20">
        <v>18</v>
      </c>
      <c r="F41" s="16">
        <v>219003561.21000004</v>
      </c>
    </row>
    <row r="42" spans="1:8" ht="20.25" x14ac:dyDescent="0.3">
      <c r="A42" s="17">
        <v>4</v>
      </c>
      <c r="B42" s="19" t="s">
        <v>472</v>
      </c>
      <c r="C42" s="16">
        <v>55110.69000000001</v>
      </c>
      <c r="D42" s="20">
        <v>1966</v>
      </c>
      <c r="E42" s="20">
        <v>13</v>
      </c>
      <c r="F42" s="16">
        <v>201970693.61999997</v>
      </c>
    </row>
    <row r="43" spans="1:8" ht="20.25" x14ac:dyDescent="0.3">
      <c r="A43" s="17">
        <v>5</v>
      </c>
      <c r="B43" s="18" t="s">
        <v>535</v>
      </c>
      <c r="C43" s="16">
        <v>21277.5</v>
      </c>
      <c r="D43" s="20">
        <v>829</v>
      </c>
      <c r="E43" s="20">
        <v>2</v>
      </c>
      <c r="F43" s="16">
        <v>50610672.200000003</v>
      </c>
    </row>
    <row r="44" spans="1:8" ht="20.25" x14ac:dyDescent="0.3">
      <c r="A44" s="17">
        <v>6</v>
      </c>
      <c r="B44" s="19" t="s">
        <v>701</v>
      </c>
      <c r="C44" s="16">
        <v>55078.29</v>
      </c>
      <c r="D44" s="20">
        <v>2201</v>
      </c>
      <c r="E44" s="20">
        <v>15</v>
      </c>
      <c r="F44" s="16">
        <v>180300665.99000001</v>
      </c>
    </row>
    <row r="45" spans="1:8" ht="20.25" x14ac:dyDescent="0.3">
      <c r="A45" s="17">
        <v>7</v>
      </c>
      <c r="B45" s="19" t="s">
        <v>536</v>
      </c>
      <c r="C45" s="16">
        <v>17258.099999999999</v>
      </c>
      <c r="D45" s="20">
        <v>911</v>
      </c>
      <c r="E45" s="20">
        <v>4</v>
      </c>
      <c r="F45" s="16">
        <v>71465182.770000011</v>
      </c>
    </row>
    <row r="46" spans="1:8" ht="20.25" x14ac:dyDescent="0.3">
      <c r="A46" s="17">
        <v>8</v>
      </c>
      <c r="B46" s="19" t="s">
        <v>540</v>
      </c>
      <c r="C46" s="16">
        <v>706.3</v>
      </c>
      <c r="D46" s="20">
        <v>42</v>
      </c>
      <c r="E46" s="20">
        <v>1</v>
      </c>
      <c r="F46" s="16">
        <v>7540538.9000000004</v>
      </c>
    </row>
    <row r="47" spans="1:8" ht="20.25" x14ac:dyDescent="0.3">
      <c r="A47" s="17">
        <v>9</v>
      </c>
      <c r="B47" s="19" t="s">
        <v>538</v>
      </c>
      <c r="C47" s="16">
        <v>686</v>
      </c>
      <c r="D47" s="20">
        <v>42</v>
      </c>
      <c r="E47" s="20">
        <v>1</v>
      </c>
      <c r="F47" s="16">
        <v>9114658.1800000016</v>
      </c>
    </row>
    <row r="48" spans="1:8" ht="20.25" x14ac:dyDescent="0.3">
      <c r="A48" s="17">
        <v>10</v>
      </c>
      <c r="B48" s="19" t="s">
        <v>546</v>
      </c>
      <c r="C48" s="16">
        <v>956.2</v>
      </c>
      <c r="D48" s="20">
        <v>47</v>
      </c>
      <c r="E48" s="20">
        <v>1</v>
      </c>
      <c r="F48" s="16">
        <v>13227679.42</v>
      </c>
    </row>
    <row r="49" spans="1:6" ht="20.25" x14ac:dyDescent="0.3">
      <c r="A49" s="17">
        <v>11</v>
      </c>
      <c r="B49" s="19" t="s">
        <v>539</v>
      </c>
      <c r="C49" s="16">
        <v>785.9</v>
      </c>
      <c r="D49" s="20">
        <v>37</v>
      </c>
      <c r="E49" s="20">
        <v>1</v>
      </c>
      <c r="F49" s="16">
        <v>8307287.3399999999</v>
      </c>
    </row>
    <row r="50" spans="1:6" ht="20.25" x14ac:dyDescent="0.3">
      <c r="A50" s="17">
        <v>12</v>
      </c>
      <c r="B50" s="18" t="s">
        <v>702</v>
      </c>
      <c r="C50" s="16">
        <v>13564</v>
      </c>
      <c r="D50" s="20">
        <v>464</v>
      </c>
      <c r="E50" s="20">
        <v>3</v>
      </c>
      <c r="F50" s="16">
        <v>42053337.650000006</v>
      </c>
    </row>
    <row r="51" spans="1:6" ht="20.25" x14ac:dyDescent="0.3">
      <c r="A51" s="17">
        <v>13</v>
      </c>
      <c r="B51" s="18" t="s">
        <v>703</v>
      </c>
      <c r="C51" s="16">
        <v>1924.8000000000002</v>
      </c>
      <c r="D51" s="20">
        <v>84</v>
      </c>
      <c r="E51" s="20">
        <v>4</v>
      </c>
      <c r="F51" s="16">
        <v>27227661.530000001</v>
      </c>
    </row>
    <row r="52" spans="1:6" ht="20.25" x14ac:dyDescent="0.3">
      <c r="A52" s="17">
        <v>14</v>
      </c>
      <c r="B52" s="18" t="s">
        <v>704</v>
      </c>
      <c r="C52" s="16">
        <v>648.1</v>
      </c>
      <c r="D52" s="20">
        <v>29</v>
      </c>
      <c r="E52" s="20">
        <v>1</v>
      </c>
      <c r="F52" s="16">
        <v>7270971.0200000005</v>
      </c>
    </row>
    <row r="53" spans="1:6" ht="20.25" x14ac:dyDescent="0.3">
      <c r="A53" s="17">
        <v>15</v>
      </c>
      <c r="B53" s="18" t="s">
        <v>705</v>
      </c>
      <c r="C53" s="16">
        <v>19187.28</v>
      </c>
      <c r="D53" s="20">
        <v>789</v>
      </c>
      <c r="E53" s="20">
        <v>6</v>
      </c>
      <c r="F53" s="16">
        <v>73267562.609999999</v>
      </c>
    </row>
    <row r="54" spans="1:6" ht="20.25" x14ac:dyDescent="0.3">
      <c r="A54" s="17">
        <v>16</v>
      </c>
      <c r="B54" s="18" t="s">
        <v>712</v>
      </c>
      <c r="C54" s="16">
        <v>6442.8</v>
      </c>
      <c r="D54" s="20">
        <v>125</v>
      </c>
      <c r="E54" s="20">
        <v>3</v>
      </c>
      <c r="F54" s="16">
        <v>31395610.529999997</v>
      </c>
    </row>
    <row r="55" spans="1:6" ht="20.25" x14ac:dyDescent="0.3">
      <c r="A55" s="17">
        <v>17</v>
      </c>
      <c r="B55" s="18" t="s">
        <v>706</v>
      </c>
      <c r="C55" s="16">
        <v>1194.5999999999999</v>
      </c>
      <c r="D55" s="20">
        <v>55</v>
      </c>
      <c r="E55" s="20">
        <v>2</v>
      </c>
      <c r="F55" s="16">
        <v>12274100.550000001</v>
      </c>
    </row>
    <row r="56" spans="1:6" ht="20.25" x14ac:dyDescent="0.3">
      <c r="A56" s="17">
        <v>18</v>
      </c>
      <c r="B56" s="18" t="s">
        <v>222</v>
      </c>
      <c r="C56" s="16">
        <v>1364.6999999999998</v>
      </c>
      <c r="D56" s="20">
        <v>56</v>
      </c>
      <c r="E56" s="20">
        <v>2</v>
      </c>
      <c r="F56" s="16">
        <v>10822302.309999999</v>
      </c>
    </row>
    <row r="57" spans="1:6" ht="20.25" x14ac:dyDescent="0.3">
      <c r="A57" s="17">
        <v>19</v>
      </c>
      <c r="B57" s="19" t="s">
        <v>707</v>
      </c>
      <c r="C57" s="16">
        <v>12592.59</v>
      </c>
      <c r="D57" s="20">
        <v>473</v>
      </c>
      <c r="E57" s="20">
        <v>2</v>
      </c>
      <c r="F57" s="16">
        <v>42260023.789999999</v>
      </c>
    </row>
    <row r="58" spans="1:6" ht="20.25" x14ac:dyDescent="0.3">
      <c r="A58" s="17">
        <v>20</v>
      </c>
      <c r="B58" s="19" t="s">
        <v>708</v>
      </c>
      <c r="C58" s="16">
        <v>13179.39</v>
      </c>
      <c r="D58" s="20">
        <v>525</v>
      </c>
      <c r="E58" s="20">
        <v>3</v>
      </c>
      <c r="F58" s="16">
        <v>54198804.079999998</v>
      </c>
    </row>
    <row r="59" spans="1:6" ht="20.25" x14ac:dyDescent="0.3">
      <c r="A59" s="17">
        <v>21</v>
      </c>
      <c r="B59" s="18" t="s">
        <v>709</v>
      </c>
      <c r="C59" s="16">
        <v>3282.5</v>
      </c>
      <c r="D59" s="20">
        <v>156</v>
      </c>
      <c r="E59" s="20">
        <v>1</v>
      </c>
      <c r="F59" s="16">
        <v>13374774.17</v>
      </c>
    </row>
    <row r="60" spans="1:6" ht="20.25" x14ac:dyDescent="0.3">
      <c r="A60" s="17">
        <v>22</v>
      </c>
      <c r="B60" s="18" t="s">
        <v>242</v>
      </c>
      <c r="C60" s="16">
        <v>16010.28</v>
      </c>
      <c r="D60" s="20">
        <v>498</v>
      </c>
      <c r="E60" s="20">
        <v>4</v>
      </c>
      <c r="F60" s="16">
        <v>50950786.43</v>
      </c>
    </row>
    <row r="61" spans="1:6" ht="20.25" x14ac:dyDescent="0.3">
      <c r="A61" s="17">
        <v>23</v>
      </c>
      <c r="B61" s="18" t="s">
        <v>710</v>
      </c>
      <c r="C61" s="16">
        <v>3295.9</v>
      </c>
      <c r="D61" s="20">
        <v>100</v>
      </c>
      <c r="E61" s="20">
        <v>5</v>
      </c>
      <c r="F61" s="16">
        <v>37463657.939999998</v>
      </c>
    </row>
    <row r="62" spans="1:6" ht="20.25" x14ac:dyDescent="0.3">
      <c r="A62" s="17">
        <v>24</v>
      </c>
      <c r="B62" s="18" t="s">
        <v>541</v>
      </c>
      <c r="C62" s="16">
        <v>4168.3999999999996</v>
      </c>
      <c r="D62" s="20">
        <v>133</v>
      </c>
      <c r="E62" s="20">
        <v>2</v>
      </c>
      <c r="F62" s="16">
        <v>21513820</v>
      </c>
    </row>
    <row r="63" spans="1:6" ht="20.25" x14ac:dyDescent="0.3">
      <c r="A63" s="17">
        <v>25</v>
      </c>
      <c r="B63" s="18" t="s">
        <v>543</v>
      </c>
      <c r="C63" s="16">
        <v>718.9</v>
      </c>
      <c r="D63" s="20">
        <v>45</v>
      </c>
      <c r="E63" s="20">
        <v>1</v>
      </c>
      <c r="F63" s="16">
        <v>4110876.9499999997</v>
      </c>
    </row>
    <row r="64" spans="1:6" ht="20.25" x14ac:dyDescent="0.3">
      <c r="A64" s="17">
        <v>26</v>
      </c>
      <c r="B64" s="18" t="s">
        <v>711</v>
      </c>
      <c r="C64" s="16">
        <v>5766.2000000000007</v>
      </c>
      <c r="D64" s="20">
        <v>210</v>
      </c>
      <c r="E64" s="20">
        <v>2</v>
      </c>
      <c r="F64" s="16">
        <v>25224362.119999997</v>
      </c>
    </row>
    <row r="65" spans="1:8" ht="20.25" x14ac:dyDescent="0.3">
      <c r="A65" s="13" t="s">
        <v>517</v>
      </c>
      <c r="B65" s="8"/>
      <c r="C65" s="16">
        <f>SUM(C66:C90)</f>
        <v>329767.40999999997</v>
      </c>
      <c r="D65" s="15">
        <f t="shared" ref="D65" si="2">SUM(D66:D90)</f>
        <v>12608</v>
      </c>
      <c r="E65" s="20">
        <f>SUM(E66:E90)</f>
        <v>121</v>
      </c>
      <c r="F65" s="16">
        <f>SUM(F66:F90)</f>
        <v>1320973690.3</v>
      </c>
    </row>
    <row r="66" spans="1:8" ht="20.25" x14ac:dyDescent="0.3">
      <c r="A66" s="17">
        <v>1</v>
      </c>
      <c r="B66" s="18" t="s">
        <v>113</v>
      </c>
      <c r="C66" s="16">
        <v>113574.21000000002</v>
      </c>
      <c r="D66" s="20">
        <v>4446</v>
      </c>
      <c r="E66" s="20">
        <v>27</v>
      </c>
      <c r="F66" s="16">
        <v>333700934.19999999</v>
      </c>
      <c r="H66" s="1"/>
    </row>
    <row r="67" spans="1:8" ht="20.25" x14ac:dyDescent="0.3">
      <c r="A67" s="17">
        <v>2</v>
      </c>
      <c r="B67" s="18" t="s">
        <v>168</v>
      </c>
      <c r="C67" s="16">
        <v>12137.9</v>
      </c>
      <c r="D67" s="20">
        <v>575</v>
      </c>
      <c r="E67" s="20">
        <v>5</v>
      </c>
      <c r="F67" s="16">
        <v>60223102.890000001</v>
      </c>
    </row>
    <row r="68" spans="1:8" ht="20.25" x14ac:dyDescent="0.3">
      <c r="A68" s="17">
        <v>3</v>
      </c>
      <c r="B68" s="18" t="s">
        <v>152</v>
      </c>
      <c r="C68" s="16">
        <v>34513.399999999994</v>
      </c>
      <c r="D68" s="20">
        <v>1238</v>
      </c>
      <c r="E68" s="20">
        <v>13</v>
      </c>
      <c r="F68" s="16">
        <v>176719887.50999999</v>
      </c>
    </row>
    <row r="69" spans="1:8" ht="20.25" x14ac:dyDescent="0.3">
      <c r="A69" s="17">
        <v>4</v>
      </c>
      <c r="B69" s="18" t="s">
        <v>472</v>
      </c>
      <c r="C69" s="16">
        <v>28436.600000000002</v>
      </c>
      <c r="D69" s="20">
        <v>1043</v>
      </c>
      <c r="E69" s="20">
        <v>10</v>
      </c>
      <c r="F69" s="16">
        <v>110376692.72</v>
      </c>
    </row>
    <row r="70" spans="1:8" ht="20.25" x14ac:dyDescent="0.3">
      <c r="A70" s="17">
        <v>5</v>
      </c>
      <c r="B70" s="18" t="s">
        <v>701</v>
      </c>
      <c r="C70" s="16">
        <v>50241.880000000005</v>
      </c>
      <c r="D70" s="20">
        <v>1875</v>
      </c>
      <c r="E70" s="20">
        <v>13</v>
      </c>
      <c r="F70" s="16">
        <v>157618575.54000002</v>
      </c>
    </row>
    <row r="71" spans="1:8" ht="20.25" x14ac:dyDescent="0.3">
      <c r="A71" s="17">
        <v>6</v>
      </c>
      <c r="B71" s="18" t="s">
        <v>536</v>
      </c>
      <c r="C71" s="16">
        <v>2526.8999999999996</v>
      </c>
      <c r="D71" s="20">
        <v>106</v>
      </c>
      <c r="E71" s="20">
        <v>2</v>
      </c>
      <c r="F71" s="16">
        <v>19422530.299999997</v>
      </c>
    </row>
    <row r="72" spans="1:8" ht="20.25" x14ac:dyDescent="0.3">
      <c r="A72" s="17">
        <v>7</v>
      </c>
      <c r="B72" s="18" t="s">
        <v>540</v>
      </c>
      <c r="C72" s="16">
        <v>374.4</v>
      </c>
      <c r="D72" s="20">
        <v>8</v>
      </c>
      <c r="E72" s="20">
        <v>1</v>
      </c>
      <c r="F72" s="16">
        <v>6652275.6299999999</v>
      </c>
    </row>
    <row r="73" spans="1:8" ht="20.25" x14ac:dyDescent="0.3">
      <c r="A73" s="17">
        <v>8</v>
      </c>
      <c r="B73" s="18" t="s">
        <v>545</v>
      </c>
      <c r="C73" s="16">
        <v>931.4</v>
      </c>
      <c r="D73" s="20">
        <v>57</v>
      </c>
      <c r="E73" s="20">
        <v>1</v>
      </c>
      <c r="F73" s="16">
        <v>11298113.899999999</v>
      </c>
    </row>
    <row r="74" spans="1:8" ht="20.25" x14ac:dyDescent="0.3">
      <c r="A74" s="17">
        <v>9</v>
      </c>
      <c r="B74" s="18" t="s">
        <v>702</v>
      </c>
      <c r="C74" s="16">
        <v>10366.200000000001</v>
      </c>
      <c r="D74" s="20">
        <v>241</v>
      </c>
      <c r="E74" s="20">
        <v>2</v>
      </c>
      <c r="F74" s="16">
        <v>30289101</v>
      </c>
    </row>
    <row r="75" spans="1:8" ht="20.25" x14ac:dyDescent="0.3">
      <c r="A75" s="17">
        <v>10</v>
      </c>
      <c r="B75" s="18" t="s">
        <v>703</v>
      </c>
      <c r="C75" s="16">
        <v>769</v>
      </c>
      <c r="D75" s="20">
        <v>28</v>
      </c>
      <c r="E75" s="20">
        <v>2</v>
      </c>
      <c r="F75" s="16">
        <v>14357909.359999999</v>
      </c>
    </row>
    <row r="76" spans="1:8" ht="20.25" x14ac:dyDescent="0.3">
      <c r="A76" s="17">
        <v>11</v>
      </c>
      <c r="B76" s="18" t="s">
        <v>704</v>
      </c>
      <c r="C76" s="16">
        <v>521.6</v>
      </c>
      <c r="D76" s="20">
        <v>21</v>
      </c>
      <c r="E76" s="20">
        <v>1</v>
      </c>
      <c r="F76" s="16">
        <v>7616706</v>
      </c>
    </row>
    <row r="77" spans="1:8" ht="20.25" x14ac:dyDescent="0.3">
      <c r="A77" s="17">
        <v>12</v>
      </c>
      <c r="B77" s="18" t="s">
        <v>705</v>
      </c>
      <c r="C77" s="16">
        <v>12710.05</v>
      </c>
      <c r="D77" s="20">
        <v>519</v>
      </c>
      <c r="E77" s="20">
        <v>7</v>
      </c>
      <c r="F77" s="16">
        <v>59404379.280000001</v>
      </c>
    </row>
    <row r="78" spans="1:8" ht="20.25" x14ac:dyDescent="0.3">
      <c r="A78" s="17">
        <v>13</v>
      </c>
      <c r="B78" s="18" t="s">
        <v>712</v>
      </c>
      <c r="C78" s="16">
        <v>2474.1</v>
      </c>
      <c r="D78" s="20">
        <v>44</v>
      </c>
      <c r="E78" s="20">
        <v>3</v>
      </c>
      <c r="F78" s="16">
        <v>27229723.949999999</v>
      </c>
    </row>
    <row r="79" spans="1:8" ht="20.25" x14ac:dyDescent="0.3">
      <c r="A79" s="17">
        <v>14</v>
      </c>
      <c r="B79" s="18" t="s">
        <v>706</v>
      </c>
      <c r="C79" s="16">
        <v>5222.5999999999995</v>
      </c>
      <c r="D79" s="20">
        <v>191</v>
      </c>
      <c r="E79" s="20">
        <v>8</v>
      </c>
      <c r="F79" s="16">
        <v>54164763.110000007</v>
      </c>
    </row>
    <row r="80" spans="1:8" ht="20.25" x14ac:dyDescent="0.3">
      <c r="A80" s="17">
        <v>15</v>
      </c>
      <c r="B80" s="18" t="s">
        <v>222</v>
      </c>
      <c r="C80" s="16">
        <v>5216.63</v>
      </c>
      <c r="D80" s="20">
        <v>126</v>
      </c>
      <c r="E80" s="20">
        <v>1</v>
      </c>
      <c r="F80" s="16">
        <v>14453477.609999999</v>
      </c>
    </row>
    <row r="81" spans="1:6" ht="20.25" x14ac:dyDescent="0.3">
      <c r="A81" s="17">
        <v>16</v>
      </c>
      <c r="B81" s="18" t="s">
        <v>707</v>
      </c>
      <c r="C81" s="16">
        <v>3705.8999999999996</v>
      </c>
      <c r="D81" s="20">
        <v>214</v>
      </c>
      <c r="E81" s="20">
        <v>5</v>
      </c>
      <c r="F81" s="16">
        <v>42707353.960000001</v>
      </c>
    </row>
    <row r="82" spans="1:6" ht="20.25" x14ac:dyDescent="0.3">
      <c r="A82" s="17">
        <v>17</v>
      </c>
      <c r="B82" s="18" t="s">
        <v>708</v>
      </c>
      <c r="C82" s="16">
        <v>12077.75</v>
      </c>
      <c r="D82" s="20">
        <v>539</v>
      </c>
      <c r="E82" s="20">
        <v>3</v>
      </c>
      <c r="F82" s="16">
        <v>48109009.640000001</v>
      </c>
    </row>
    <row r="83" spans="1:6" ht="20.25" x14ac:dyDescent="0.3">
      <c r="A83" s="17">
        <v>18</v>
      </c>
      <c r="B83" s="18" t="s">
        <v>709</v>
      </c>
      <c r="C83" s="16">
        <v>960.1</v>
      </c>
      <c r="D83" s="20">
        <v>40</v>
      </c>
      <c r="E83" s="20">
        <v>1</v>
      </c>
      <c r="F83" s="16">
        <v>12022272.17</v>
      </c>
    </row>
    <row r="84" spans="1:6" ht="20.25" x14ac:dyDescent="0.3">
      <c r="A84" s="17">
        <v>19</v>
      </c>
      <c r="B84" s="18" t="s">
        <v>242</v>
      </c>
      <c r="C84" s="16">
        <v>18016.48</v>
      </c>
      <c r="D84" s="20">
        <v>526</v>
      </c>
      <c r="E84" s="20">
        <v>5</v>
      </c>
      <c r="F84" s="16">
        <v>53842195.050000004</v>
      </c>
    </row>
    <row r="85" spans="1:6" ht="20.25" x14ac:dyDescent="0.3">
      <c r="A85" s="17">
        <v>20</v>
      </c>
      <c r="B85" s="18" t="s">
        <v>710</v>
      </c>
      <c r="C85" s="16">
        <v>6700.91</v>
      </c>
      <c r="D85" s="20">
        <v>464</v>
      </c>
      <c r="E85" s="20">
        <v>6</v>
      </c>
      <c r="F85" s="16">
        <v>33777859.039999999</v>
      </c>
    </row>
    <row r="86" spans="1:6" ht="20.25" x14ac:dyDescent="0.3">
      <c r="A86" s="17">
        <v>21</v>
      </c>
      <c r="B86" s="18" t="s">
        <v>547</v>
      </c>
      <c r="C86" s="16">
        <v>402.9</v>
      </c>
      <c r="D86" s="20">
        <v>36</v>
      </c>
      <c r="E86" s="20">
        <v>1</v>
      </c>
      <c r="F86" s="16">
        <v>4441177.17</v>
      </c>
    </row>
    <row r="87" spans="1:6" ht="20.25" x14ac:dyDescent="0.3">
      <c r="A87" s="17">
        <v>22</v>
      </c>
      <c r="B87" s="18" t="s">
        <v>544</v>
      </c>
      <c r="C87" s="16">
        <v>432.7</v>
      </c>
      <c r="D87" s="20">
        <v>21</v>
      </c>
      <c r="E87" s="20">
        <v>1</v>
      </c>
      <c r="F87" s="16">
        <v>4595412.62</v>
      </c>
    </row>
    <row r="88" spans="1:6" ht="20.25" x14ac:dyDescent="0.3">
      <c r="A88" s="17">
        <v>23</v>
      </c>
      <c r="B88" s="18" t="s">
        <v>543</v>
      </c>
      <c r="C88" s="16">
        <v>1107</v>
      </c>
      <c r="D88" s="20">
        <v>60</v>
      </c>
      <c r="E88" s="20">
        <v>1</v>
      </c>
      <c r="F88" s="16">
        <v>7553233.4500000002</v>
      </c>
    </row>
    <row r="89" spans="1:6" ht="20.25" x14ac:dyDescent="0.3">
      <c r="A89" s="17">
        <v>24</v>
      </c>
      <c r="B89" s="18" t="s">
        <v>542</v>
      </c>
      <c r="C89" s="16">
        <v>813.7</v>
      </c>
      <c r="D89" s="20">
        <v>26</v>
      </c>
      <c r="E89" s="20">
        <v>1</v>
      </c>
      <c r="F89" s="16">
        <v>9774772.6999999993</v>
      </c>
    </row>
    <row r="90" spans="1:6" ht="20.25" x14ac:dyDescent="0.3">
      <c r="A90" s="17">
        <v>25</v>
      </c>
      <c r="B90" s="18" t="s">
        <v>711</v>
      </c>
      <c r="C90" s="16">
        <v>5533.1</v>
      </c>
      <c r="D90" s="20">
        <v>164</v>
      </c>
      <c r="E90" s="20">
        <v>1</v>
      </c>
      <c r="F90" s="16">
        <v>20622231.5</v>
      </c>
    </row>
    <row r="91" spans="1:6" ht="58.5" customHeight="1" x14ac:dyDescent="0.25">
      <c r="A91" s="62" t="s">
        <v>741</v>
      </c>
      <c r="B91" s="63"/>
      <c r="C91" s="63"/>
      <c r="D91" s="63"/>
      <c r="E91" s="63"/>
      <c r="F91" s="64"/>
    </row>
    <row r="92" spans="1:6" ht="20.25" x14ac:dyDescent="0.3">
      <c r="A92" s="23" t="s">
        <v>743</v>
      </c>
      <c r="B92" s="13"/>
      <c r="C92" s="16">
        <f>C93</f>
        <v>3647</v>
      </c>
      <c r="D92" s="20">
        <f t="shared" ref="D92:F92" si="3">D93</f>
        <v>279</v>
      </c>
      <c r="E92" s="12">
        <f t="shared" si="3"/>
        <v>1</v>
      </c>
      <c r="F92" s="16">
        <f t="shared" si="3"/>
        <v>16948149.629999999</v>
      </c>
    </row>
    <row r="93" spans="1:6" ht="20.25" x14ac:dyDescent="0.3">
      <c r="A93" s="17">
        <v>1</v>
      </c>
      <c r="B93" s="13" t="s">
        <v>701</v>
      </c>
      <c r="C93" s="16">
        <v>3647</v>
      </c>
      <c r="D93" s="20">
        <v>279</v>
      </c>
      <c r="E93" s="12">
        <v>1</v>
      </c>
      <c r="F93" s="16">
        <v>16948149.629999999</v>
      </c>
    </row>
    <row r="94" spans="1:6" ht="67.5" customHeight="1" x14ac:dyDescent="0.25">
      <c r="A94" s="62" t="s">
        <v>737</v>
      </c>
      <c r="B94" s="63"/>
      <c r="C94" s="63"/>
      <c r="D94" s="63"/>
      <c r="E94" s="63"/>
      <c r="F94" s="64"/>
    </row>
    <row r="95" spans="1:6" ht="20.25" x14ac:dyDescent="0.3">
      <c r="A95" s="13" t="s">
        <v>738</v>
      </c>
      <c r="B95" s="8"/>
      <c r="C95" s="16">
        <f>SUM(C96:C103)</f>
        <v>30419.169999999995</v>
      </c>
      <c r="D95" s="20">
        <f t="shared" ref="D95:F95" si="4">SUM(D96:D103)</f>
        <v>1204</v>
      </c>
      <c r="E95" s="20">
        <f t="shared" si="4"/>
        <v>23</v>
      </c>
      <c r="F95" s="16">
        <f t="shared" si="4"/>
        <v>177113005.71000001</v>
      </c>
    </row>
    <row r="96" spans="1:6" ht="20.25" x14ac:dyDescent="0.3">
      <c r="A96" s="17">
        <v>1</v>
      </c>
      <c r="B96" s="18" t="s">
        <v>113</v>
      </c>
      <c r="C96" s="16">
        <v>9654.5</v>
      </c>
      <c r="D96" s="20">
        <v>407</v>
      </c>
      <c r="E96" s="20">
        <v>6</v>
      </c>
      <c r="F96" s="16">
        <v>50953864.619999997</v>
      </c>
    </row>
    <row r="97" spans="1:6" ht="20.25" x14ac:dyDescent="0.3">
      <c r="A97" s="17">
        <v>2</v>
      </c>
      <c r="B97" s="18" t="s">
        <v>222</v>
      </c>
      <c r="C97" s="16">
        <v>3405.97</v>
      </c>
      <c r="D97" s="20">
        <v>108</v>
      </c>
      <c r="E97" s="20">
        <v>3</v>
      </c>
      <c r="F97" s="16">
        <v>21141288.689999998</v>
      </c>
    </row>
    <row r="98" spans="1:6" ht="20.25" x14ac:dyDescent="0.3">
      <c r="A98" s="17">
        <v>3</v>
      </c>
      <c r="B98" s="18" t="s">
        <v>709</v>
      </c>
      <c r="C98" s="16">
        <v>2275.6999999999998</v>
      </c>
      <c r="D98" s="20">
        <v>80</v>
      </c>
      <c r="E98" s="20">
        <v>2</v>
      </c>
      <c r="F98" s="16">
        <v>17085646.080000002</v>
      </c>
    </row>
    <row r="99" spans="1:6" ht="20.25" x14ac:dyDescent="0.3">
      <c r="A99" s="17">
        <v>4</v>
      </c>
      <c r="B99" s="18" t="s">
        <v>703</v>
      </c>
      <c r="C99" s="16">
        <v>923.6</v>
      </c>
      <c r="D99" s="20">
        <v>47</v>
      </c>
      <c r="E99" s="20">
        <v>1</v>
      </c>
      <c r="F99" s="16">
        <v>3670648.0599999996</v>
      </c>
    </row>
    <row r="100" spans="1:6" ht="20.25" x14ac:dyDescent="0.3">
      <c r="A100" s="17">
        <v>5</v>
      </c>
      <c r="B100" s="18" t="s">
        <v>712</v>
      </c>
      <c r="C100" s="16">
        <v>7156.4999999999991</v>
      </c>
      <c r="D100" s="20">
        <v>316</v>
      </c>
      <c r="E100" s="20">
        <v>6</v>
      </c>
      <c r="F100" s="16">
        <v>39161299.740000002</v>
      </c>
    </row>
    <row r="101" spans="1:6" ht="20.25" x14ac:dyDescent="0.3">
      <c r="A101" s="17">
        <v>6</v>
      </c>
      <c r="B101" s="18" t="s">
        <v>711</v>
      </c>
      <c r="C101" s="16">
        <v>1675.6</v>
      </c>
      <c r="D101" s="20">
        <v>67</v>
      </c>
      <c r="E101" s="20">
        <v>2</v>
      </c>
      <c r="F101" s="16">
        <v>14462598.57</v>
      </c>
    </row>
    <row r="102" spans="1:6" ht="20.25" x14ac:dyDescent="0.3">
      <c r="A102" s="17">
        <v>7</v>
      </c>
      <c r="B102" s="18" t="s">
        <v>701</v>
      </c>
      <c r="C102" s="16">
        <v>4386.7999999999993</v>
      </c>
      <c r="D102" s="20">
        <v>161</v>
      </c>
      <c r="E102" s="20">
        <v>2</v>
      </c>
      <c r="F102" s="16">
        <v>21472503.989999998</v>
      </c>
    </row>
    <row r="103" spans="1:6" ht="20.25" x14ac:dyDescent="0.3">
      <c r="A103" s="17">
        <v>8</v>
      </c>
      <c r="B103" s="18" t="s">
        <v>706</v>
      </c>
      <c r="C103" s="16">
        <v>940.5</v>
      </c>
      <c r="D103" s="20">
        <v>18</v>
      </c>
      <c r="E103" s="20">
        <v>1</v>
      </c>
      <c r="F103" s="16">
        <v>9165155.9600000009</v>
      </c>
    </row>
  </sheetData>
  <mergeCells count="11">
    <mergeCell ref="A94:F94"/>
    <mergeCell ref="A91:F91"/>
    <mergeCell ref="C1:F1"/>
    <mergeCell ref="C2:F2"/>
    <mergeCell ref="A3:F4"/>
    <mergeCell ref="A5:A8"/>
    <mergeCell ref="B5:B8"/>
    <mergeCell ref="C5:C7"/>
    <mergeCell ref="D5:D7"/>
    <mergeCell ref="E5:E7"/>
    <mergeCell ref="F5:F7"/>
  </mergeCells>
  <pageMargins left="0.23622047244094491" right="0.23622047244094491" top="0.74803149606299213" bottom="0.31496062992125984" header="0.31496062992125984" footer="0.31496062992125984"/>
  <pageSetup paperSize="9" scale="50" fitToHeight="0" orientation="portrait" r:id="rId1"/>
  <headerFooter differentFirst="1">
    <oddHeader>&amp;C&amp;"Times New Roman,обычный"&amp;16&amp;P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95EA-D1C9-4362-BEDF-7911CA8FBAD7}">
  <sheetPr>
    <pageSetUpPr fitToPage="1"/>
  </sheetPr>
  <dimension ref="A1:V39"/>
  <sheetViews>
    <sheetView topLeftCell="A10" zoomScale="40" zoomScaleNormal="40" workbookViewId="0">
      <selection activeCell="A29" sqref="A29:XFD29"/>
    </sheetView>
  </sheetViews>
  <sheetFormatPr defaultRowHeight="15" x14ac:dyDescent="0.25"/>
  <cols>
    <col min="1" max="1" width="12.85546875" customWidth="1"/>
    <col min="2" max="2" width="121.5703125" customWidth="1"/>
    <col min="3" max="3" width="54" customWidth="1"/>
    <col min="4" max="4" width="38.5703125" customWidth="1"/>
    <col min="5" max="5" width="39" customWidth="1"/>
    <col min="6" max="6" width="38.7109375" customWidth="1"/>
    <col min="7" max="7" width="39.42578125" customWidth="1"/>
    <col min="8" max="9" width="35.42578125" customWidth="1"/>
    <col min="10" max="10" width="23.5703125" customWidth="1"/>
    <col min="11" max="11" width="45.42578125" customWidth="1"/>
    <col min="12" max="16" width="35.42578125" customWidth="1"/>
    <col min="17" max="17" width="91.5703125" customWidth="1"/>
    <col min="18" max="18" width="41.140625" customWidth="1"/>
    <col min="19" max="19" width="71" customWidth="1"/>
    <col min="20" max="20" width="34.7109375" customWidth="1"/>
    <col min="21" max="21" width="31.42578125" customWidth="1"/>
    <col min="22" max="22" width="30" customWidth="1"/>
  </cols>
  <sheetData>
    <row r="1" spans="1:22" ht="46.5" x14ac:dyDescent="0.7">
      <c r="Q1" s="40"/>
      <c r="R1" s="40"/>
      <c r="S1" s="40"/>
      <c r="T1" s="96" t="s">
        <v>657</v>
      </c>
      <c r="U1" s="96"/>
      <c r="V1" s="96"/>
    </row>
    <row r="2" spans="1:22" ht="189.75" customHeight="1" x14ac:dyDescent="0.25">
      <c r="P2" s="97" t="s">
        <v>656</v>
      </c>
      <c r="Q2" s="97"/>
      <c r="R2" s="97"/>
      <c r="S2" s="97"/>
      <c r="T2" s="97"/>
      <c r="U2" s="97"/>
      <c r="V2" s="97"/>
    </row>
    <row r="3" spans="1:22" ht="61.5" x14ac:dyDescent="0.9">
      <c r="Q3" s="41"/>
      <c r="R3" s="41"/>
      <c r="S3" s="42"/>
      <c r="T3" s="42"/>
      <c r="U3" s="42"/>
      <c r="V3" s="42"/>
    </row>
    <row r="4" spans="1:22" ht="314.25" customHeight="1" x14ac:dyDescent="0.25">
      <c r="A4" s="98" t="s">
        <v>632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</row>
    <row r="5" spans="1:22" ht="57.75" customHeight="1" x14ac:dyDescent="0.25">
      <c r="A5" s="99" t="s">
        <v>4</v>
      </c>
      <c r="B5" s="99" t="s">
        <v>5</v>
      </c>
      <c r="C5" s="102" t="s">
        <v>6</v>
      </c>
      <c r="D5" s="105" t="s">
        <v>7</v>
      </c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7"/>
      <c r="P5" s="105" t="s">
        <v>8</v>
      </c>
      <c r="Q5" s="106"/>
      <c r="R5" s="106"/>
      <c r="S5" s="106"/>
      <c r="T5" s="106"/>
      <c r="U5" s="107"/>
      <c r="V5" s="108" t="s">
        <v>630</v>
      </c>
    </row>
    <row r="6" spans="1:22" ht="33" x14ac:dyDescent="0.25">
      <c r="A6" s="100"/>
      <c r="B6" s="100"/>
      <c r="C6" s="103"/>
      <c r="D6" s="105" t="s">
        <v>12</v>
      </c>
      <c r="E6" s="106"/>
      <c r="F6" s="106"/>
      <c r="G6" s="106"/>
      <c r="H6" s="106"/>
      <c r="I6" s="107"/>
      <c r="J6" s="87" t="s">
        <v>13</v>
      </c>
      <c r="K6" s="88"/>
      <c r="L6" s="93" t="s">
        <v>14</v>
      </c>
      <c r="M6" s="93" t="s">
        <v>15</v>
      </c>
      <c r="N6" s="93" t="s">
        <v>16</v>
      </c>
      <c r="O6" s="93" t="s">
        <v>17</v>
      </c>
      <c r="P6" s="81" t="s">
        <v>631</v>
      </c>
      <c r="Q6" s="81" t="s">
        <v>19</v>
      </c>
      <c r="R6" s="81" t="s">
        <v>20</v>
      </c>
      <c r="S6" s="81" t="s">
        <v>21</v>
      </c>
      <c r="T6" s="81" t="s">
        <v>22</v>
      </c>
      <c r="U6" s="81" t="s">
        <v>23</v>
      </c>
      <c r="V6" s="109"/>
    </row>
    <row r="7" spans="1:22" x14ac:dyDescent="0.25">
      <c r="A7" s="100"/>
      <c r="B7" s="100"/>
      <c r="C7" s="103"/>
      <c r="D7" s="84" t="s">
        <v>24</v>
      </c>
      <c r="E7" s="84" t="s">
        <v>25</v>
      </c>
      <c r="F7" s="84" t="s">
        <v>26</v>
      </c>
      <c r="G7" s="84" t="s">
        <v>27</v>
      </c>
      <c r="H7" s="84" t="s">
        <v>28</v>
      </c>
      <c r="I7" s="84" t="s">
        <v>29</v>
      </c>
      <c r="J7" s="89"/>
      <c r="K7" s="90"/>
      <c r="L7" s="94"/>
      <c r="M7" s="94"/>
      <c r="N7" s="94"/>
      <c r="O7" s="94"/>
      <c r="P7" s="82"/>
      <c r="Q7" s="82"/>
      <c r="R7" s="82"/>
      <c r="S7" s="82"/>
      <c r="T7" s="82"/>
      <c r="U7" s="82"/>
      <c r="V7" s="109"/>
    </row>
    <row r="8" spans="1:22" ht="237" customHeight="1" x14ac:dyDescent="0.25">
      <c r="A8" s="100"/>
      <c r="B8" s="100"/>
      <c r="C8" s="103"/>
      <c r="D8" s="85"/>
      <c r="E8" s="85"/>
      <c r="F8" s="85"/>
      <c r="G8" s="85"/>
      <c r="H8" s="85"/>
      <c r="I8" s="85"/>
      <c r="J8" s="89"/>
      <c r="K8" s="90"/>
      <c r="L8" s="94"/>
      <c r="M8" s="94"/>
      <c r="N8" s="94"/>
      <c r="O8" s="94"/>
      <c r="P8" s="82"/>
      <c r="Q8" s="82"/>
      <c r="R8" s="82"/>
      <c r="S8" s="82"/>
      <c r="T8" s="82"/>
      <c r="U8" s="82"/>
      <c r="V8" s="109"/>
    </row>
    <row r="9" spans="1:22" ht="409.5" customHeight="1" x14ac:dyDescent="0.25">
      <c r="A9" s="100"/>
      <c r="B9" s="100"/>
      <c r="C9" s="104"/>
      <c r="D9" s="86"/>
      <c r="E9" s="86"/>
      <c r="F9" s="86"/>
      <c r="G9" s="86"/>
      <c r="H9" s="86"/>
      <c r="I9" s="86"/>
      <c r="J9" s="91"/>
      <c r="K9" s="92"/>
      <c r="L9" s="95"/>
      <c r="M9" s="95"/>
      <c r="N9" s="95"/>
      <c r="O9" s="95"/>
      <c r="P9" s="83"/>
      <c r="Q9" s="83"/>
      <c r="R9" s="83"/>
      <c r="S9" s="83"/>
      <c r="T9" s="83"/>
      <c r="U9" s="83"/>
      <c r="V9" s="109"/>
    </row>
    <row r="10" spans="1:22" ht="33" x14ac:dyDescent="0.25">
      <c r="A10" s="101"/>
      <c r="B10" s="101"/>
      <c r="C10" s="43" t="s">
        <v>30</v>
      </c>
      <c r="D10" s="44" t="s">
        <v>30</v>
      </c>
      <c r="E10" s="44" t="s">
        <v>30</v>
      </c>
      <c r="F10" s="44" t="s">
        <v>30</v>
      </c>
      <c r="G10" s="44" t="s">
        <v>30</v>
      </c>
      <c r="H10" s="44" t="s">
        <v>30</v>
      </c>
      <c r="I10" s="44" t="s">
        <v>30</v>
      </c>
      <c r="J10" s="45" t="s">
        <v>31</v>
      </c>
      <c r="K10" s="44" t="s">
        <v>30</v>
      </c>
      <c r="L10" s="44" t="s">
        <v>30</v>
      </c>
      <c r="M10" s="44" t="s">
        <v>30</v>
      </c>
      <c r="N10" s="44" t="s">
        <v>30</v>
      </c>
      <c r="O10" s="44" t="s">
        <v>30</v>
      </c>
      <c r="P10" s="44" t="s">
        <v>30</v>
      </c>
      <c r="Q10" s="44" t="s">
        <v>30</v>
      </c>
      <c r="R10" s="44" t="s">
        <v>30</v>
      </c>
      <c r="S10" s="44" t="s">
        <v>30</v>
      </c>
      <c r="T10" s="44" t="s">
        <v>30</v>
      </c>
      <c r="U10" s="44" t="s">
        <v>30</v>
      </c>
      <c r="V10" s="110"/>
    </row>
    <row r="11" spans="1:22" ht="26.25" x14ac:dyDescent="0.4">
      <c r="A11" s="46">
        <v>1</v>
      </c>
      <c r="B11" s="46">
        <v>2</v>
      </c>
      <c r="C11" s="46">
        <v>3</v>
      </c>
      <c r="D11" s="46">
        <v>4</v>
      </c>
      <c r="E11" s="46">
        <v>5</v>
      </c>
      <c r="F11" s="46">
        <v>6</v>
      </c>
      <c r="G11" s="46">
        <v>7</v>
      </c>
      <c r="H11" s="46">
        <v>8</v>
      </c>
      <c r="I11" s="46">
        <v>9</v>
      </c>
      <c r="J11" s="46">
        <v>10</v>
      </c>
      <c r="K11" s="46">
        <v>11</v>
      </c>
      <c r="L11" s="46">
        <v>12</v>
      </c>
      <c r="M11" s="46">
        <v>13</v>
      </c>
      <c r="N11" s="46">
        <v>14</v>
      </c>
      <c r="O11" s="46">
        <v>15</v>
      </c>
      <c r="P11" s="46">
        <v>16</v>
      </c>
      <c r="Q11" s="46">
        <v>17</v>
      </c>
      <c r="R11" s="46">
        <v>18</v>
      </c>
      <c r="S11" s="46">
        <v>19</v>
      </c>
      <c r="T11" s="46">
        <v>20</v>
      </c>
      <c r="U11" s="46">
        <v>21</v>
      </c>
      <c r="V11" s="46">
        <v>22</v>
      </c>
    </row>
    <row r="12" spans="1:22" ht="35.25" x14ac:dyDescent="0.4">
      <c r="A12" s="29" t="s">
        <v>655</v>
      </c>
      <c r="B12" s="46"/>
      <c r="C12" s="47">
        <f t="shared" ref="C12:S12" si="0">C13+C31+C35+C38</f>
        <v>195537611.44999999</v>
      </c>
      <c r="D12" s="47">
        <f t="shared" si="0"/>
        <v>258000</v>
      </c>
      <c r="E12" s="47">
        <f t="shared" si="0"/>
        <v>0</v>
      </c>
      <c r="F12" s="47">
        <f t="shared" si="0"/>
        <v>0</v>
      </c>
      <c r="G12" s="47">
        <f t="shared" si="0"/>
        <v>0</v>
      </c>
      <c r="H12" s="47">
        <f t="shared" si="0"/>
        <v>1950000</v>
      </c>
      <c r="I12" s="47">
        <f t="shared" si="0"/>
        <v>0</v>
      </c>
      <c r="J12" s="48">
        <f t="shared" si="0"/>
        <v>47</v>
      </c>
      <c r="K12" s="47">
        <f t="shared" si="0"/>
        <v>193329611.44999999</v>
      </c>
      <c r="L12" s="47">
        <f t="shared" si="0"/>
        <v>0</v>
      </c>
      <c r="M12" s="47">
        <f t="shared" si="0"/>
        <v>0</v>
      </c>
      <c r="N12" s="47">
        <f t="shared" si="0"/>
        <v>0</v>
      </c>
      <c r="O12" s="47">
        <f t="shared" si="0"/>
        <v>0</v>
      </c>
      <c r="P12" s="47">
        <f t="shared" si="0"/>
        <v>0</v>
      </c>
      <c r="Q12" s="47">
        <f t="shared" si="0"/>
        <v>0</v>
      </c>
      <c r="R12" s="47">
        <f t="shared" si="0"/>
        <v>0</v>
      </c>
      <c r="S12" s="47">
        <f t="shared" si="0"/>
        <v>0</v>
      </c>
      <c r="T12" s="46" t="s">
        <v>422</v>
      </c>
      <c r="U12" s="46" t="s">
        <v>422</v>
      </c>
      <c r="V12" s="46" t="s">
        <v>422</v>
      </c>
    </row>
    <row r="13" spans="1:22" ht="35.25" x14ac:dyDescent="0.4">
      <c r="A13" s="29" t="s">
        <v>413</v>
      </c>
      <c r="B13" s="46"/>
      <c r="C13" s="47">
        <f>SUM(C14:C30)</f>
        <v>148376306.44999999</v>
      </c>
      <c r="D13" s="47">
        <f t="shared" ref="D13:S13" si="1">SUM(D14:D30)</f>
        <v>258000</v>
      </c>
      <c r="E13" s="47">
        <f t="shared" si="1"/>
        <v>0</v>
      </c>
      <c r="F13" s="47">
        <f t="shared" si="1"/>
        <v>0</v>
      </c>
      <c r="G13" s="47">
        <f t="shared" si="1"/>
        <v>0</v>
      </c>
      <c r="H13" s="47">
        <f t="shared" si="1"/>
        <v>0</v>
      </c>
      <c r="I13" s="47">
        <f t="shared" si="1"/>
        <v>0</v>
      </c>
      <c r="J13" s="48">
        <f t="shared" si="1"/>
        <v>36</v>
      </c>
      <c r="K13" s="47">
        <f t="shared" si="1"/>
        <v>148118306.44999999</v>
      </c>
      <c r="L13" s="47">
        <f t="shared" si="1"/>
        <v>0</v>
      </c>
      <c r="M13" s="47">
        <f t="shared" si="1"/>
        <v>0</v>
      </c>
      <c r="N13" s="47">
        <f t="shared" si="1"/>
        <v>0</v>
      </c>
      <c r="O13" s="47">
        <f t="shared" si="1"/>
        <v>0</v>
      </c>
      <c r="P13" s="47">
        <f t="shared" si="1"/>
        <v>0</v>
      </c>
      <c r="Q13" s="47">
        <f t="shared" si="1"/>
        <v>0</v>
      </c>
      <c r="R13" s="47">
        <f t="shared" si="1"/>
        <v>0</v>
      </c>
      <c r="S13" s="47">
        <f t="shared" si="1"/>
        <v>0</v>
      </c>
      <c r="T13" s="46" t="s">
        <v>422</v>
      </c>
      <c r="U13" s="46" t="s">
        <v>422</v>
      </c>
      <c r="V13" s="46" t="s">
        <v>422</v>
      </c>
    </row>
    <row r="14" spans="1:22" s="52" customFormat="1" ht="35.25" x14ac:dyDescent="0.25">
      <c r="A14" s="31">
        <v>1</v>
      </c>
      <c r="B14" s="49" t="s">
        <v>633</v>
      </c>
      <c r="C14" s="47">
        <f>D14+E14+F14+G14+H14+I14+K14+L14+M14+N14+O14+P14+Q14+R14+S14</f>
        <v>4163281.5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48">
        <v>1</v>
      </c>
      <c r="K14" s="50">
        <v>4163281.5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31" t="s">
        <v>425</v>
      </c>
      <c r="U14" s="31" t="s">
        <v>425</v>
      </c>
      <c r="V14" s="51">
        <v>2026</v>
      </c>
    </row>
    <row r="15" spans="1:22" s="52" customFormat="1" ht="35.25" x14ac:dyDescent="0.25">
      <c r="A15" s="31">
        <v>2</v>
      </c>
      <c r="B15" s="49" t="s">
        <v>634</v>
      </c>
      <c r="C15" s="47">
        <f t="shared" ref="C15:C39" si="2">D15+E15+F15+G15+H15+I15+K15+L15+M15+N15+O15+P15+Q15+R15+S15</f>
        <v>16915374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48">
        <v>4</v>
      </c>
      <c r="K15" s="50">
        <v>16915374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31" t="s">
        <v>425</v>
      </c>
      <c r="U15" s="31" t="s">
        <v>425</v>
      </c>
      <c r="V15" s="51">
        <v>2026</v>
      </c>
    </row>
    <row r="16" spans="1:22" s="52" customFormat="1" ht="35.25" x14ac:dyDescent="0.25">
      <c r="A16" s="31">
        <v>3</v>
      </c>
      <c r="B16" s="49" t="s">
        <v>636</v>
      </c>
      <c r="C16" s="47">
        <f t="shared" si="2"/>
        <v>8326563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48">
        <v>2</v>
      </c>
      <c r="K16" s="50">
        <v>8326563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31" t="s">
        <v>425</v>
      </c>
      <c r="U16" s="31" t="s">
        <v>425</v>
      </c>
      <c r="V16" s="51">
        <v>2026</v>
      </c>
    </row>
    <row r="17" spans="1:22" s="52" customFormat="1" ht="35.25" x14ac:dyDescent="0.25">
      <c r="A17" s="31">
        <v>4</v>
      </c>
      <c r="B17" s="28" t="s">
        <v>637</v>
      </c>
      <c r="C17" s="47">
        <f t="shared" si="2"/>
        <v>4163281.5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48">
        <v>1</v>
      </c>
      <c r="K17" s="50">
        <v>4163281.5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31" t="s">
        <v>425</v>
      </c>
      <c r="U17" s="31" t="s">
        <v>425</v>
      </c>
      <c r="V17" s="51">
        <v>2026</v>
      </c>
    </row>
    <row r="18" spans="1:22" s="52" customFormat="1" ht="35.25" x14ac:dyDescent="0.25">
      <c r="A18" s="31">
        <v>5</v>
      </c>
      <c r="B18" s="49" t="s">
        <v>638</v>
      </c>
      <c r="C18" s="47">
        <f t="shared" si="2"/>
        <v>4163281.5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48">
        <v>1</v>
      </c>
      <c r="K18" s="50">
        <v>4163281.5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31" t="s">
        <v>425</v>
      </c>
      <c r="U18" s="31" t="s">
        <v>425</v>
      </c>
      <c r="V18" s="51">
        <v>2026</v>
      </c>
    </row>
    <row r="19" spans="1:22" s="52" customFormat="1" ht="35.25" x14ac:dyDescent="0.25">
      <c r="A19" s="31">
        <v>6</v>
      </c>
      <c r="B19" s="49" t="s">
        <v>639</v>
      </c>
      <c r="C19" s="47">
        <f t="shared" si="2"/>
        <v>3820278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48">
        <v>1</v>
      </c>
      <c r="K19" s="50">
        <v>3820278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31" t="s">
        <v>425</v>
      </c>
      <c r="U19" s="31" t="s">
        <v>425</v>
      </c>
      <c r="V19" s="51">
        <v>2026</v>
      </c>
    </row>
    <row r="20" spans="1:22" s="52" customFormat="1" ht="35.25" x14ac:dyDescent="0.25">
      <c r="A20" s="31">
        <v>7</v>
      </c>
      <c r="B20" s="49" t="s">
        <v>640</v>
      </c>
      <c r="C20" s="47">
        <f t="shared" si="2"/>
        <v>16653126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48">
        <v>4</v>
      </c>
      <c r="K20" s="50">
        <v>16653126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31" t="s">
        <v>425</v>
      </c>
      <c r="U20" s="31" t="s">
        <v>425</v>
      </c>
      <c r="V20" s="51">
        <v>2026</v>
      </c>
    </row>
    <row r="21" spans="1:22" s="52" customFormat="1" ht="35.25" x14ac:dyDescent="0.25">
      <c r="A21" s="31">
        <v>8</v>
      </c>
      <c r="B21" s="28" t="s">
        <v>641</v>
      </c>
      <c r="C21" s="47">
        <f t="shared" si="2"/>
        <v>3820278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48">
        <v>1</v>
      </c>
      <c r="K21" s="50">
        <v>3820278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31" t="s">
        <v>425</v>
      </c>
      <c r="U21" s="31" t="s">
        <v>425</v>
      </c>
      <c r="V21" s="51">
        <v>2026</v>
      </c>
    </row>
    <row r="22" spans="1:22" s="52" customFormat="1" ht="35.25" x14ac:dyDescent="0.25">
      <c r="A22" s="31">
        <v>9</v>
      </c>
      <c r="B22" s="49" t="s">
        <v>642</v>
      </c>
      <c r="C22" s="47">
        <f t="shared" si="2"/>
        <v>4002526.5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48">
        <v>1</v>
      </c>
      <c r="K22" s="50">
        <v>4002526.5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31" t="s">
        <v>425</v>
      </c>
      <c r="U22" s="31" t="s">
        <v>425</v>
      </c>
      <c r="V22" s="51">
        <v>2026</v>
      </c>
    </row>
    <row r="23" spans="1:22" s="52" customFormat="1" ht="35.25" x14ac:dyDescent="0.25">
      <c r="A23" s="31">
        <v>10</v>
      </c>
      <c r="B23" s="49" t="s">
        <v>643</v>
      </c>
      <c r="C23" s="47">
        <f t="shared" si="2"/>
        <v>8326563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48">
        <v>2</v>
      </c>
      <c r="K23" s="50">
        <v>8326563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31" t="s">
        <v>425</v>
      </c>
      <c r="U23" s="31" t="s">
        <v>425</v>
      </c>
      <c r="V23" s="51">
        <v>2026</v>
      </c>
    </row>
    <row r="24" spans="1:22" s="52" customFormat="1" ht="35.25" x14ac:dyDescent="0.25">
      <c r="A24" s="31">
        <v>11</v>
      </c>
      <c r="B24" s="53" t="s">
        <v>644</v>
      </c>
      <c r="C24" s="47">
        <f t="shared" si="2"/>
        <v>4163281.5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48">
        <v>1</v>
      </c>
      <c r="K24" s="50">
        <v>4163281.5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31" t="s">
        <v>425</v>
      </c>
      <c r="U24" s="31" t="s">
        <v>425</v>
      </c>
      <c r="V24" s="51">
        <v>2026</v>
      </c>
    </row>
    <row r="25" spans="1:22" s="52" customFormat="1" ht="35.25" x14ac:dyDescent="0.25">
      <c r="A25" s="31">
        <v>12</v>
      </c>
      <c r="B25" s="49" t="s">
        <v>645</v>
      </c>
      <c r="C25" s="47">
        <f t="shared" si="2"/>
        <v>12489844.5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48">
        <v>3</v>
      </c>
      <c r="K25" s="50">
        <v>12489844.5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31" t="s">
        <v>425</v>
      </c>
      <c r="U25" s="31" t="s">
        <v>425</v>
      </c>
      <c r="V25" s="51">
        <v>2026</v>
      </c>
    </row>
    <row r="26" spans="1:22" s="52" customFormat="1" ht="35.25" x14ac:dyDescent="0.25">
      <c r="A26" s="31">
        <v>13</v>
      </c>
      <c r="B26" s="49" t="s">
        <v>646</v>
      </c>
      <c r="C26" s="47">
        <f t="shared" si="2"/>
        <v>8326563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48">
        <v>2</v>
      </c>
      <c r="K26" s="50">
        <v>8326563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31" t="s">
        <v>425</v>
      </c>
      <c r="U26" s="31" t="s">
        <v>425</v>
      </c>
      <c r="V26" s="51">
        <v>2026</v>
      </c>
    </row>
    <row r="27" spans="1:22" s="52" customFormat="1" ht="35.25" x14ac:dyDescent="0.25">
      <c r="A27" s="31">
        <v>14</v>
      </c>
      <c r="B27" s="49" t="s">
        <v>647</v>
      </c>
      <c r="C27" s="47">
        <f t="shared" si="2"/>
        <v>12051648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48">
        <v>3</v>
      </c>
      <c r="K27" s="50">
        <v>12051648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31" t="s">
        <v>425</v>
      </c>
      <c r="U27" s="31" t="s">
        <v>425</v>
      </c>
      <c r="V27" s="51">
        <v>2026</v>
      </c>
    </row>
    <row r="28" spans="1:22" s="52" customFormat="1" ht="35.25" x14ac:dyDescent="0.25">
      <c r="A28" s="31">
        <v>15</v>
      </c>
      <c r="B28" s="49" t="s">
        <v>648</v>
      </c>
      <c r="C28" s="47">
        <f t="shared" si="2"/>
        <v>33246990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48">
        <v>8</v>
      </c>
      <c r="K28" s="50">
        <v>33246990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31" t="s">
        <v>425</v>
      </c>
      <c r="U28" s="31" t="s">
        <v>425</v>
      </c>
      <c r="V28" s="51">
        <v>2026</v>
      </c>
    </row>
    <row r="29" spans="1:22" ht="35.25" x14ac:dyDescent="0.5">
      <c r="A29" s="31">
        <v>16</v>
      </c>
      <c r="B29" s="54" t="s">
        <v>777</v>
      </c>
      <c r="C29" s="47">
        <f t="shared" si="2"/>
        <v>3485426.45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48">
        <v>1</v>
      </c>
      <c r="K29" s="55">
        <v>3485426.45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31" t="s">
        <v>425</v>
      </c>
      <c r="U29" s="31" t="s">
        <v>425</v>
      </c>
      <c r="V29" s="51">
        <v>2026</v>
      </c>
    </row>
    <row r="30" spans="1:22" ht="35.25" x14ac:dyDescent="0.5">
      <c r="A30" s="31">
        <v>17</v>
      </c>
      <c r="B30" s="54" t="s">
        <v>778</v>
      </c>
      <c r="C30" s="47">
        <f t="shared" si="2"/>
        <v>258000</v>
      </c>
      <c r="D30" s="55">
        <v>258000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48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31" t="s">
        <v>425</v>
      </c>
      <c r="U30" s="31" t="s">
        <v>425</v>
      </c>
      <c r="V30" s="51">
        <v>2026</v>
      </c>
    </row>
    <row r="31" spans="1:22" s="52" customFormat="1" ht="35.25" x14ac:dyDescent="0.4">
      <c r="A31" s="29" t="s">
        <v>414</v>
      </c>
      <c r="B31" s="49"/>
      <c r="C31" s="47">
        <f>C32+C33+C34</f>
        <v>36884742</v>
      </c>
      <c r="D31" s="47">
        <f t="shared" ref="D31:S31" si="3">D32+D33+D34</f>
        <v>0</v>
      </c>
      <c r="E31" s="47">
        <f t="shared" si="3"/>
        <v>0</v>
      </c>
      <c r="F31" s="47">
        <f t="shared" si="3"/>
        <v>0</v>
      </c>
      <c r="G31" s="47">
        <f t="shared" si="3"/>
        <v>0</v>
      </c>
      <c r="H31" s="47">
        <f t="shared" si="3"/>
        <v>0</v>
      </c>
      <c r="I31" s="47">
        <f t="shared" si="3"/>
        <v>0</v>
      </c>
      <c r="J31" s="48">
        <f t="shared" si="3"/>
        <v>9</v>
      </c>
      <c r="K31" s="47">
        <f t="shared" si="3"/>
        <v>36884742</v>
      </c>
      <c r="L31" s="47">
        <f t="shared" si="3"/>
        <v>0</v>
      </c>
      <c r="M31" s="47">
        <f t="shared" si="3"/>
        <v>0</v>
      </c>
      <c r="N31" s="47">
        <f t="shared" si="3"/>
        <v>0</v>
      </c>
      <c r="O31" s="47">
        <f t="shared" si="3"/>
        <v>0</v>
      </c>
      <c r="P31" s="47">
        <f t="shared" si="3"/>
        <v>0</v>
      </c>
      <c r="Q31" s="47">
        <f t="shared" si="3"/>
        <v>0</v>
      </c>
      <c r="R31" s="47">
        <f t="shared" si="3"/>
        <v>0</v>
      </c>
      <c r="S31" s="47">
        <f t="shared" si="3"/>
        <v>0</v>
      </c>
      <c r="T31" s="46" t="s">
        <v>422</v>
      </c>
      <c r="U31" s="46" t="s">
        <v>422</v>
      </c>
      <c r="V31" s="46" t="s">
        <v>422</v>
      </c>
    </row>
    <row r="32" spans="1:22" s="52" customFormat="1" ht="35.25" x14ac:dyDescent="0.25">
      <c r="A32" s="31">
        <v>18</v>
      </c>
      <c r="B32" s="49" t="s">
        <v>649</v>
      </c>
      <c r="C32" s="47">
        <f t="shared" si="2"/>
        <v>8005053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48">
        <v>2</v>
      </c>
      <c r="K32" s="50">
        <v>8005053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31" t="s">
        <v>425</v>
      </c>
      <c r="U32" s="31" t="s">
        <v>425</v>
      </c>
      <c r="V32" s="51">
        <v>2026</v>
      </c>
    </row>
    <row r="33" spans="1:22" s="52" customFormat="1" ht="35.25" x14ac:dyDescent="0.25">
      <c r="A33" s="31">
        <v>19</v>
      </c>
      <c r="B33" s="49" t="s">
        <v>651</v>
      </c>
      <c r="C33" s="47">
        <f t="shared" si="2"/>
        <v>24979689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48">
        <v>6</v>
      </c>
      <c r="K33" s="50">
        <v>24979689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31" t="s">
        <v>425</v>
      </c>
      <c r="U33" s="31" t="s">
        <v>425</v>
      </c>
      <c r="V33" s="51">
        <v>2026</v>
      </c>
    </row>
    <row r="34" spans="1:22" ht="35.25" x14ac:dyDescent="0.5">
      <c r="A34" s="56">
        <v>20</v>
      </c>
      <c r="B34" s="54" t="s">
        <v>652</v>
      </c>
      <c r="C34" s="47">
        <f t="shared" si="2"/>
        <v>3900000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48">
        <v>1</v>
      </c>
      <c r="K34" s="55">
        <v>3900000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31" t="s">
        <v>425</v>
      </c>
      <c r="U34" s="31" t="s">
        <v>425</v>
      </c>
      <c r="V34" s="51">
        <v>2026</v>
      </c>
    </row>
    <row r="35" spans="1:22" s="52" customFormat="1" ht="35.25" x14ac:dyDescent="0.4">
      <c r="A35" s="29" t="s">
        <v>207</v>
      </c>
      <c r="B35" s="49"/>
      <c r="C35" s="47">
        <f>C36+C37</f>
        <v>6113281.5</v>
      </c>
      <c r="D35" s="47">
        <f t="shared" ref="D35:S35" si="4">D36+D37</f>
        <v>0</v>
      </c>
      <c r="E35" s="47">
        <f t="shared" si="4"/>
        <v>0</v>
      </c>
      <c r="F35" s="47">
        <f t="shared" si="4"/>
        <v>0</v>
      </c>
      <c r="G35" s="47">
        <f t="shared" si="4"/>
        <v>0</v>
      </c>
      <c r="H35" s="47">
        <f t="shared" si="4"/>
        <v>1950000</v>
      </c>
      <c r="I35" s="47">
        <f t="shared" si="4"/>
        <v>0</v>
      </c>
      <c r="J35" s="48">
        <f t="shared" si="4"/>
        <v>1</v>
      </c>
      <c r="K35" s="47">
        <f t="shared" si="4"/>
        <v>4163281.5</v>
      </c>
      <c r="L35" s="47">
        <f t="shared" si="4"/>
        <v>0</v>
      </c>
      <c r="M35" s="47">
        <f t="shared" si="4"/>
        <v>0</v>
      </c>
      <c r="N35" s="47">
        <f t="shared" si="4"/>
        <v>0</v>
      </c>
      <c r="O35" s="47">
        <f t="shared" si="4"/>
        <v>0</v>
      </c>
      <c r="P35" s="47">
        <f t="shared" si="4"/>
        <v>0</v>
      </c>
      <c r="Q35" s="47">
        <f t="shared" si="4"/>
        <v>0</v>
      </c>
      <c r="R35" s="47">
        <f t="shared" si="4"/>
        <v>0</v>
      </c>
      <c r="S35" s="47">
        <f t="shared" si="4"/>
        <v>0</v>
      </c>
      <c r="T35" s="46" t="s">
        <v>422</v>
      </c>
      <c r="U35" s="46" t="s">
        <v>422</v>
      </c>
      <c r="V35" s="46" t="s">
        <v>422</v>
      </c>
    </row>
    <row r="36" spans="1:22" s="52" customFormat="1" ht="35.25" x14ac:dyDescent="0.25">
      <c r="A36" s="31">
        <v>21</v>
      </c>
      <c r="B36" s="49" t="s">
        <v>653</v>
      </c>
      <c r="C36" s="47">
        <f t="shared" si="2"/>
        <v>4163281.5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48">
        <v>1</v>
      </c>
      <c r="K36" s="50">
        <v>4163281.5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31" t="s">
        <v>425</v>
      </c>
      <c r="U36" s="31" t="s">
        <v>425</v>
      </c>
      <c r="V36" s="51">
        <v>2026</v>
      </c>
    </row>
    <row r="37" spans="1:22" ht="35.25" x14ac:dyDescent="0.5">
      <c r="A37" s="56">
        <v>22</v>
      </c>
      <c r="B37" s="54" t="s">
        <v>779</v>
      </c>
      <c r="C37" s="47">
        <f t="shared" si="2"/>
        <v>1950000</v>
      </c>
      <c r="D37" s="55">
        <v>0</v>
      </c>
      <c r="E37" s="55">
        <v>0</v>
      </c>
      <c r="F37" s="55">
        <v>0</v>
      </c>
      <c r="G37" s="55">
        <v>0</v>
      </c>
      <c r="H37" s="55">
        <v>1950000</v>
      </c>
      <c r="I37" s="55">
        <v>0</v>
      </c>
      <c r="J37" s="48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31" t="s">
        <v>425</v>
      </c>
      <c r="U37" s="31" t="s">
        <v>425</v>
      </c>
      <c r="V37" s="51">
        <v>2026</v>
      </c>
    </row>
    <row r="38" spans="1:22" s="52" customFormat="1" ht="35.25" x14ac:dyDescent="0.4">
      <c r="A38" s="29" t="s">
        <v>471</v>
      </c>
      <c r="B38" s="49"/>
      <c r="C38" s="47">
        <f>C39</f>
        <v>4163281.5</v>
      </c>
      <c r="D38" s="47">
        <f t="shared" ref="D38:S38" si="5">D39</f>
        <v>0</v>
      </c>
      <c r="E38" s="47">
        <f t="shared" si="5"/>
        <v>0</v>
      </c>
      <c r="F38" s="47">
        <f t="shared" si="5"/>
        <v>0</v>
      </c>
      <c r="G38" s="47">
        <f t="shared" si="5"/>
        <v>0</v>
      </c>
      <c r="H38" s="47">
        <f t="shared" si="5"/>
        <v>0</v>
      </c>
      <c r="I38" s="47">
        <f t="shared" si="5"/>
        <v>0</v>
      </c>
      <c r="J38" s="48">
        <f t="shared" si="5"/>
        <v>1</v>
      </c>
      <c r="K38" s="47">
        <f t="shared" si="5"/>
        <v>4163281.5</v>
      </c>
      <c r="L38" s="47">
        <f t="shared" si="5"/>
        <v>0</v>
      </c>
      <c r="M38" s="47">
        <f t="shared" si="5"/>
        <v>0</v>
      </c>
      <c r="N38" s="47">
        <f t="shared" si="5"/>
        <v>0</v>
      </c>
      <c r="O38" s="47">
        <f t="shared" si="5"/>
        <v>0</v>
      </c>
      <c r="P38" s="47">
        <f t="shared" si="5"/>
        <v>0</v>
      </c>
      <c r="Q38" s="47">
        <f t="shared" si="5"/>
        <v>0</v>
      </c>
      <c r="R38" s="47">
        <f t="shared" si="5"/>
        <v>0</v>
      </c>
      <c r="S38" s="47">
        <f t="shared" si="5"/>
        <v>0</v>
      </c>
      <c r="T38" s="46" t="s">
        <v>422</v>
      </c>
      <c r="U38" s="46" t="s">
        <v>422</v>
      </c>
      <c r="V38" s="46" t="s">
        <v>422</v>
      </c>
    </row>
    <row r="39" spans="1:22" s="52" customFormat="1" ht="35.25" x14ac:dyDescent="0.25">
      <c r="A39" s="31">
        <v>23</v>
      </c>
      <c r="B39" s="49" t="s">
        <v>654</v>
      </c>
      <c r="C39" s="47">
        <f t="shared" si="2"/>
        <v>4163281.5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48">
        <v>1</v>
      </c>
      <c r="K39" s="50">
        <v>4163281.5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31" t="s">
        <v>425</v>
      </c>
      <c r="U39" s="31" t="s">
        <v>425</v>
      </c>
      <c r="V39" s="51">
        <v>2026</v>
      </c>
    </row>
  </sheetData>
  <autoFilter ref="A13:V13" xr:uid="{647395EA-D1C9-4362-BEDF-7911CA8FBAD7}"/>
  <mergeCells count="27">
    <mergeCell ref="T1:V1"/>
    <mergeCell ref="P2:V2"/>
    <mergeCell ref="A4:V4"/>
    <mergeCell ref="A5:A10"/>
    <mergeCell ref="B5:B10"/>
    <mergeCell ref="C5:C9"/>
    <mergeCell ref="D5:O5"/>
    <mergeCell ref="P5:U5"/>
    <mergeCell ref="V5:V10"/>
    <mergeCell ref="D6:I6"/>
    <mergeCell ref="U6:U9"/>
    <mergeCell ref="D7:D9"/>
    <mergeCell ref="E7:E9"/>
    <mergeCell ref="F7:F9"/>
    <mergeCell ref="G7:G9"/>
    <mergeCell ref="H7:H9"/>
    <mergeCell ref="T6:T9"/>
    <mergeCell ref="P6:P9"/>
    <mergeCell ref="I7:I9"/>
    <mergeCell ref="Q6:Q9"/>
    <mergeCell ref="R6:R9"/>
    <mergeCell ref="S6:S9"/>
    <mergeCell ref="J6:K9"/>
    <mergeCell ref="L6:L9"/>
    <mergeCell ref="M6:M9"/>
    <mergeCell ref="N6:N9"/>
    <mergeCell ref="O6:O9"/>
  </mergeCells>
  <conditionalFormatting sqref="A34">
    <cfRule type="duplicateValues" dxfId="5" priority="7" stopIfTrue="1"/>
  </conditionalFormatting>
  <conditionalFormatting sqref="A37">
    <cfRule type="duplicateValues" dxfId="4" priority="1" stopIfTrue="1"/>
  </conditionalFormatting>
  <conditionalFormatting sqref="B29:B30">
    <cfRule type="duplicateValues" dxfId="3" priority="10" stopIfTrue="1"/>
  </conditionalFormatting>
  <conditionalFormatting sqref="B34">
    <cfRule type="duplicateValues" dxfId="2" priority="15" stopIfTrue="1"/>
  </conditionalFormatting>
  <conditionalFormatting sqref="B37">
    <cfRule type="duplicateValues" dxfId="1" priority="2" stopIfTrue="1"/>
  </conditionalFormatting>
  <conditionalFormatting sqref="B41:B1048576 B1:B28 B31:B33 B35:B36 B38:B39">
    <cfRule type="duplicateValues" dxfId="0" priority="11"/>
  </conditionalFormatting>
  <pageMargins left="0.25" right="0.25" top="0.75" bottom="0.75" header="0.3" footer="0.3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Реестр</vt:lpstr>
      <vt:lpstr>Перечень</vt:lpstr>
      <vt:lpstr>РО</vt:lpstr>
      <vt:lpstr>Плановое обеспечение</vt:lpstr>
      <vt:lpstr>Спецсчета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2026-06-30T08:27:20Z</cp:lastPrinted>
  <dcterms:created xsi:type="dcterms:W3CDTF">2025-03-11T09:34:19Z</dcterms:created>
  <dcterms:modified xsi:type="dcterms:W3CDTF">2026-07-02T06:13:13Z</dcterms:modified>
</cp:coreProperties>
</file>